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 codeName="{4D1C537B-E38A-612A-F078-A93A15B4B7F4}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e-my.sharepoint.com/personal/zavj02_vse_cz/Documents/Koleje menzy/Koleje/Úklid/Úklid Roooseveltova kolej/Výběrové řízení 2026/Dokumenty/"/>
    </mc:Choice>
  </mc:AlternateContent>
  <xr:revisionPtr revIDLastSave="58" documentId="14_{8BBD2395-BA0E-4A99-BFD6-F83F4EB4C60C}" xr6:coauthVersionLast="47" xr6:coauthVersionMax="47" xr10:uidLastSave="{7CDFF8C8-2AC1-4248-9A32-B48CF00EEC10}"/>
  <bookViews>
    <workbookView xWindow="16080" yWindow="-120" windowWidth="29040" windowHeight="15840" xr2:uid="{00000000-000D-0000-FFFF-FFFF00000000}"/>
  </bookViews>
  <sheets>
    <sheet name="Základní údaje" sheetId="2" r:id="rId1"/>
    <sheet name="Rozpis úklidu" sheetId="1" r:id="rId2"/>
    <sheet name="Karty úklidu" sheetId="3" r:id="rId3"/>
    <sheet name="Činnosti úklidu" sheetId="4" r:id="rId4"/>
  </sheets>
  <definedNames>
    <definedName name="_xlnm.Print_Area" localSheetId="2">'Karty úklidu'!$A$80:$H$99</definedName>
    <definedName name="_xlnm.Print_Area" localSheetId="1">'Rozpis úklidu'!$A$85:$G$107</definedName>
    <definedName name="_xlnm.Print_Area" localSheetId="0">'Základní údaje'!$A$91:$G$113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3" l="1"/>
  <c r="A30" i="3" l="1"/>
  <c r="B30" i="3"/>
  <c r="F30" i="3" s="1"/>
  <c r="C30" i="3"/>
  <c r="D30" i="3"/>
  <c r="A31" i="3"/>
  <c r="B31" i="3"/>
  <c r="F31" i="3" s="1"/>
  <c r="C31" i="3"/>
  <c r="D31" i="3"/>
  <c r="E22" i="1"/>
  <c r="O22" i="1"/>
  <c r="E23" i="1"/>
  <c r="O23" i="1"/>
  <c r="A62" i="3"/>
  <c r="B62" i="3"/>
  <c r="F62" i="3" s="1"/>
  <c r="C62" i="3"/>
  <c r="D62" i="3"/>
  <c r="O46" i="1"/>
  <c r="E46" i="1"/>
  <c r="D61" i="3"/>
  <c r="B61" i="3"/>
  <c r="C61" i="3" s="1"/>
  <c r="A61" i="3"/>
  <c r="D19" i="3"/>
  <c r="B19" i="3"/>
  <c r="F19" i="3" s="1"/>
  <c r="G19" i="3" s="1"/>
  <c r="A19" i="3"/>
  <c r="O45" i="1"/>
  <c r="E45" i="1"/>
  <c r="O18" i="1"/>
  <c r="D20" i="3"/>
  <c r="B20" i="3"/>
  <c r="F20" i="3" s="1"/>
  <c r="A20" i="3"/>
  <c r="E18" i="1"/>
  <c r="D37" i="3"/>
  <c r="B37" i="3"/>
  <c r="F37" i="3" s="1"/>
  <c r="A37" i="3"/>
  <c r="O29" i="1"/>
  <c r="E29" i="1"/>
  <c r="D101" i="3"/>
  <c r="D100" i="3"/>
  <c r="D99" i="3"/>
  <c r="D95" i="3"/>
  <c r="D94" i="3"/>
  <c r="D93" i="3"/>
  <c r="D92" i="3"/>
  <c r="D91" i="3"/>
  <c r="D90" i="3"/>
  <c r="F101" i="3"/>
  <c r="G101" i="3" s="1"/>
  <c r="C101" i="3"/>
  <c r="A101" i="3"/>
  <c r="F100" i="3"/>
  <c r="C100" i="3"/>
  <c r="A100" i="3"/>
  <c r="F99" i="3"/>
  <c r="G99" i="3" s="1"/>
  <c r="C99" i="3"/>
  <c r="A99" i="3"/>
  <c r="F98" i="3"/>
  <c r="D98" i="3"/>
  <c r="C98" i="3"/>
  <c r="A98" i="3"/>
  <c r="F97" i="3"/>
  <c r="G97" i="3" s="1"/>
  <c r="D97" i="3"/>
  <c r="C97" i="3"/>
  <c r="A97" i="3"/>
  <c r="F96" i="3"/>
  <c r="D96" i="3"/>
  <c r="C96" i="3"/>
  <c r="A96" i="3"/>
  <c r="F95" i="3"/>
  <c r="G95" i="3" s="1"/>
  <c r="C95" i="3"/>
  <c r="A95" i="3"/>
  <c r="F94" i="3"/>
  <c r="C94" i="3"/>
  <c r="A94" i="3"/>
  <c r="F93" i="3"/>
  <c r="G93" i="3" s="1"/>
  <c r="C93" i="3"/>
  <c r="A93" i="3"/>
  <c r="F92" i="3"/>
  <c r="C92" i="3"/>
  <c r="A92" i="3"/>
  <c r="F91" i="3"/>
  <c r="G91" i="3" s="1"/>
  <c r="C91" i="3"/>
  <c r="A91" i="3"/>
  <c r="F90" i="3"/>
  <c r="C90" i="3"/>
  <c r="A90" i="3"/>
  <c r="F89" i="3"/>
  <c r="G89" i="3" s="1"/>
  <c r="D89" i="3"/>
  <c r="C89" i="3"/>
  <c r="A89" i="3"/>
  <c r="F88" i="3"/>
  <c r="D88" i="3"/>
  <c r="C88" i="3"/>
  <c r="A88" i="3"/>
  <c r="F87" i="3"/>
  <c r="G87" i="3" s="1"/>
  <c r="D87" i="3"/>
  <c r="C87" i="3"/>
  <c r="A87" i="3"/>
  <c r="A72" i="3"/>
  <c r="C72" i="3"/>
  <c r="D72" i="3"/>
  <c r="F72" i="3"/>
  <c r="A73" i="3"/>
  <c r="C73" i="3"/>
  <c r="D73" i="3"/>
  <c r="F73" i="3"/>
  <c r="A74" i="3"/>
  <c r="C74" i="3"/>
  <c r="D74" i="3"/>
  <c r="F74" i="3"/>
  <c r="A75" i="3"/>
  <c r="C75" i="3"/>
  <c r="D75" i="3"/>
  <c r="F75" i="3"/>
  <c r="G75" i="3" s="1"/>
  <c r="A76" i="3"/>
  <c r="C76" i="3"/>
  <c r="D76" i="3"/>
  <c r="F76" i="3"/>
  <c r="A77" i="3"/>
  <c r="C77" i="3"/>
  <c r="D77" i="3"/>
  <c r="F77" i="3"/>
  <c r="G77" i="3" s="1"/>
  <c r="A78" i="3"/>
  <c r="C78" i="3"/>
  <c r="D78" i="3"/>
  <c r="F78" i="3"/>
  <c r="G78" i="3" s="1"/>
  <c r="A79" i="3"/>
  <c r="C79" i="3"/>
  <c r="D79" i="3"/>
  <c r="F79" i="3"/>
  <c r="G79" i="3" s="1"/>
  <c r="A80" i="3"/>
  <c r="C80" i="3"/>
  <c r="D80" i="3"/>
  <c r="F80" i="3"/>
  <c r="F71" i="3"/>
  <c r="G71" i="3" s="1"/>
  <c r="A71" i="3"/>
  <c r="D71" i="3"/>
  <c r="C71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F5" i="3" s="1"/>
  <c r="F42" i="3"/>
  <c r="D42" i="3"/>
  <c r="C42" i="3"/>
  <c r="A42" i="3"/>
  <c r="F45" i="3"/>
  <c r="G45" i="3" s="1"/>
  <c r="D45" i="3"/>
  <c r="C45" i="3"/>
  <c r="A45" i="3"/>
  <c r="G31" i="3" l="1"/>
  <c r="G30" i="3"/>
  <c r="G62" i="3"/>
  <c r="C19" i="3"/>
  <c r="G20" i="3"/>
  <c r="C20" i="3"/>
  <c r="C37" i="3"/>
  <c r="G37" i="3"/>
  <c r="C81" i="3"/>
  <c r="C102" i="3"/>
  <c r="G74" i="3"/>
  <c r="G88" i="3"/>
  <c r="G90" i="3"/>
  <c r="G92" i="3"/>
  <c r="G94" i="3"/>
  <c r="G96" i="3"/>
  <c r="G98" i="3"/>
  <c r="G100" i="3"/>
  <c r="G76" i="3"/>
  <c r="G73" i="3"/>
  <c r="G80" i="3"/>
  <c r="G72" i="3"/>
  <c r="G42" i="3"/>
  <c r="O52" i="1"/>
  <c r="O32" i="1"/>
  <c r="E32" i="1"/>
  <c r="O35" i="1"/>
  <c r="E35" i="1"/>
  <c r="D41" i="3" l="1"/>
  <c r="F54" i="3" l="1"/>
  <c r="F53" i="3"/>
  <c r="F52" i="3"/>
  <c r="F51" i="3"/>
  <c r="F50" i="3"/>
  <c r="F49" i="3"/>
  <c r="F48" i="3"/>
  <c r="F47" i="3"/>
  <c r="F46" i="3"/>
  <c r="F44" i="3"/>
  <c r="F43" i="3"/>
  <c r="F41" i="3"/>
  <c r="F40" i="3"/>
  <c r="F39" i="3"/>
  <c r="F38" i="3"/>
  <c r="D54" i="3"/>
  <c r="D53" i="3"/>
  <c r="D52" i="3"/>
  <c r="D50" i="3"/>
  <c r="D51" i="3"/>
  <c r="D49" i="3"/>
  <c r="G54" i="3" l="1"/>
  <c r="C54" i="3"/>
  <c r="A54" i="3"/>
  <c r="G53" i="3"/>
  <c r="C53" i="3"/>
  <c r="A53" i="3"/>
  <c r="G52" i="3"/>
  <c r="C52" i="3"/>
  <c r="A52" i="3"/>
  <c r="D44" i="3"/>
  <c r="D43" i="3"/>
  <c r="D40" i="3"/>
  <c r="G44" i="3"/>
  <c r="C44" i="3"/>
  <c r="A44" i="3"/>
  <c r="G43" i="3"/>
  <c r="C43" i="3"/>
  <c r="A43" i="3"/>
  <c r="O42" i="1"/>
  <c r="O43" i="1"/>
  <c r="E43" i="1"/>
  <c r="E42" i="1"/>
  <c r="E34" i="1"/>
  <c r="O33" i="1"/>
  <c r="E33" i="1"/>
  <c r="G39" i="3"/>
  <c r="D39" i="3"/>
  <c r="C39" i="3"/>
  <c r="D64" i="3"/>
  <c r="B64" i="3"/>
  <c r="A64" i="3"/>
  <c r="D63" i="3"/>
  <c r="B63" i="3"/>
  <c r="A63" i="3"/>
  <c r="A38" i="3"/>
  <c r="G38" i="3"/>
  <c r="D38" i="3"/>
  <c r="C38" i="3"/>
  <c r="F61" i="3" l="1"/>
  <c r="G61" i="3" s="1"/>
  <c r="C63" i="3"/>
  <c r="F63" i="3"/>
  <c r="G63" i="3" s="1"/>
  <c r="C64" i="3"/>
  <c r="F64" i="3"/>
  <c r="G64" i="3" s="1"/>
  <c r="O44" i="1"/>
  <c r="O34" i="1"/>
  <c r="A51" i="3"/>
  <c r="A50" i="3"/>
  <c r="A49" i="3"/>
  <c r="A48" i="3"/>
  <c r="A47" i="3"/>
  <c r="A46" i="3"/>
  <c r="A41" i="3"/>
  <c r="A40" i="3"/>
  <c r="C65" i="3" l="1"/>
  <c r="C51" i="3"/>
  <c r="C48" i="3"/>
  <c r="C47" i="3"/>
  <c r="C41" i="3"/>
  <c r="C40" i="3"/>
  <c r="B36" i="3"/>
  <c r="F36" i="3" s="1"/>
  <c r="B35" i="3"/>
  <c r="F35" i="3" s="1"/>
  <c r="B34" i="3"/>
  <c r="F34" i="3" s="1"/>
  <c r="B33" i="3"/>
  <c r="F33" i="3" s="1"/>
  <c r="B32" i="3"/>
  <c r="C32" i="3" s="1"/>
  <c r="B29" i="3"/>
  <c r="F29" i="3" s="1"/>
  <c r="B28" i="3"/>
  <c r="F28" i="3" s="1"/>
  <c r="C50" i="3"/>
  <c r="C49" i="3"/>
  <c r="D48" i="3"/>
  <c r="D47" i="3"/>
  <c r="D46" i="3"/>
  <c r="C46" i="3"/>
  <c r="D36" i="3"/>
  <c r="A36" i="3"/>
  <c r="D35" i="3"/>
  <c r="A35" i="3"/>
  <c r="D34" i="3"/>
  <c r="A34" i="3"/>
  <c r="D33" i="3"/>
  <c r="A33" i="3"/>
  <c r="D32" i="3"/>
  <c r="A32" i="3"/>
  <c r="D29" i="3"/>
  <c r="A29" i="3"/>
  <c r="D28" i="3"/>
  <c r="A28" i="3"/>
  <c r="C21" i="3"/>
  <c r="A6" i="3"/>
  <c r="C6" i="3"/>
  <c r="D6" i="3"/>
  <c r="A7" i="3"/>
  <c r="C7" i="3"/>
  <c r="D7" i="3"/>
  <c r="A8" i="3"/>
  <c r="C8" i="3"/>
  <c r="D8" i="3"/>
  <c r="A9" i="3"/>
  <c r="C9" i="3"/>
  <c r="D9" i="3"/>
  <c r="A10" i="3"/>
  <c r="C10" i="3"/>
  <c r="D10" i="3"/>
  <c r="A11" i="3"/>
  <c r="C11" i="3"/>
  <c r="D11" i="3"/>
  <c r="A12" i="3"/>
  <c r="C12" i="3"/>
  <c r="D12" i="3"/>
  <c r="A13" i="3"/>
  <c r="C13" i="3"/>
  <c r="D13" i="3"/>
  <c r="A14" i="3"/>
  <c r="C14" i="3"/>
  <c r="D14" i="3"/>
  <c r="A15" i="3"/>
  <c r="C15" i="3"/>
  <c r="D15" i="3"/>
  <c r="A16" i="3"/>
  <c r="C16" i="3"/>
  <c r="D16" i="3"/>
  <c r="A17" i="3"/>
  <c r="C17" i="3"/>
  <c r="D17" i="3"/>
  <c r="A18" i="3"/>
  <c r="C18" i="3"/>
  <c r="D18" i="3"/>
  <c r="D5" i="3"/>
  <c r="G5" i="3"/>
  <c r="A5" i="3"/>
  <c r="C35" i="3" l="1"/>
  <c r="C36" i="3"/>
  <c r="G47" i="3"/>
  <c r="G51" i="3"/>
  <c r="C28" i="3"/>
  <c r="F32" i="3"/>
  <c r="G32" i="3" s="1"/>
  <c r="G28" i="3"/>
  <c r="G34" i="3"/>
  <c r="G33" i="3"/>
  <c r="G46" i="3"/>
  <c r="G29" i="3"/>
  <c r="G35" i="3"/>
  <c r="G36" i="3"/>
  <c r="G50" i="3"/>
  <c r="C34" i="3"/>
  <c r="C29" i="3"/>
  <c r="C33" i="3"/>
  <c r="F12" i="3"/>
  <c r="F10" i="3"/>
  <c r="F14" i="3"/>
  <c r="G14" i="3" s="1"/>
  <c r="F6" i="3"/>
  <c r="G6" i="3" s="1"/>
  <c r="F18" i="3"/>
  <c r="F8" i="3"/>
  <c r="F16" i="3"/>
  <c r="C5" i="3"/>
  <c r="C22" i="3" s="1"/>
  <c r="F9" i="3"/>
  <c r="F13" i="3"/>
  <c r="F7" i="3"/>
  <c r="F11" i="3"/>
  <c r="F15" i="3"/>
  <c r="C55" i="3" l="1"/>
  <c r="B22" i="3" s="1"/>
  <c r="G12" i="3"/>
  <c r="G49" i="3"/>
  <c r="G48" i="3"/>
  <c r="G41" i="3"/>
  <c r="G40" i="3"/>
  <c r="G15" i="3"/>
  <c r="G10" i="3"/>
  <c r="G18" i="3"/>
  <c r="G11" i="3"/>
  <c r="G9" i="3"/>
  <c r="G8" i="3"/>
  <c r="G7" i="3"/>
  <c r="G17" i="3"/>
  <c r="G13" i="3"/>
  <c r="G16" i="3"/>
  <c r="G55" i="3" l="1"/>
  <c r="G60" i="1"/>
  <c r="O16" i="1"/>
  <c r="O21" i="1"/>
  <c r="E21" i="1"/>
  <c r="B1" i="1" l="1"/>
  <c r="A1" i="1" l="1"/>
  <c r="D49" i="1" l="1"/>
  <c r="A39" i="3" s="1"/>
  <c r="C11" i="2" l="1"/>
  <c r="O59" i="1" l="1"/>
  <c r="E59" i="1"/>
  <c r="B21" i="3"/>
  <c r="E21" i="3" s="1"/>
  <c r="B85" i="3" l="1"/>
  <c r="D86" i="3"/>
  <c r="B86" i="3"/>
  <c r="A86" i="3"/>
  <c r="G102" i="3" l="1"/>
  <c r="E70" i="3" l="1"/>
  <c r="D70" i="3"/>
  <c r="B70" i="3"/>
  <c r="A70" i="3"/>
  <c r="D69" i="3"/>
  <c r="B69" i="3" s="1"/>
  <c r="G81" i="3" l="1"/>
  <c r="D59" i="3" l="1"/>
  <c r="B59" i="3" s="1"/>
  <c r="E60" i="3"/>
  <c r="D60" i="3"/>
  <c r="B60" i="3"/>
  <c r="A60" i="3"/>
  <c r="E27" i="3"/>
  <c r="D27" i="3"/>
  <c r="A27" i="3"/>
  <c r="E4" i="3"/>
  <c r="D4" i="3"/>
  <c r="B4" i="3"/>
  <c r="A4" i="3"/>
  <c r="D26" i="3" l="1"/>
  <c r="B3" i="3"/>
  <c r="B26" i="3"/>
  <c r="O49" i="1"/>
  <c r="E49" i="1"/>
  <c r="C12" i="2"/>
  <c r="F12" i="2"/>
  <c r="G12" i="2"/>
  <c r="E12" i="2"/>
  <c r="E13" i="2" s="1"/>
  <c r="B2" i="1"/>
  <c r="D1" i="1"/>
  <c r="C1" i="1"/>
  <c r="D84" i="3"/>
  <c r="P46" i="1" l="1"/>
  <c r="Q46" i="1" s="1"/>
  <c r="P22" i="1"/>
  <c r="P23" i="1"/>
  <c r="P18" i="1"/>
  <c r="Q18" i="1" s="1"/>
  <c r="P45" i="1"/>
  <c r="P52" i="1"/>
  <c r="E73" i="3" s="1"/>
  <c r="P29" i="1"/>
  <c r="P35" i="1"/>
  <c r="P32" i="1"/>
  <c r="P44" i="1"/>
  <c r="E101" i="3" s="1"/>
  <c r="P42" i="1"/>
  <c r="E99" i="3" s="1"/>
  <c r="P43" i="1"/>
  <c r="E100" i="3" s="1"/>
  <c r="P34" i="1"/>
  <c r="E91" i="3" s="1"/>
  <c r="P33" i="1"/>
  <c r="E90" i="3" s="1"/>
  <c r="P59" i="1"/>
  <c r="P21" i="1"/>
  <c r="P49" i="1"/>
  <c r="G65" i="3"/>
  <c r="D68" i="3"/>
  <c r="D25" i="3"/>
  <c r="D58" i="3"/>
  <c r="D2" i="3"/>
  <c r="F13" i="2"/>
  <c r="G13" i="2" s="1"/>
  <c r="P41" i="1"/>
  <c r="E98" i="3" s="1"/>
  <c r="P40" i="1"/>
  <c r="E97" i="3" s="1"/>
  <c r="P39" i="1"/>
  <c r="E96" i="3" s="1"/>
  <c r="P38" i="1"/>
  <c r="E95" i="3" s="1"/>
  <c r="P37" i="1"/>
  <c r="E94" i="3" s="1"/>
  <c r="P36" i="1"/>
  <c r="E93" i="3" s="1"/>
  <c r="P31" i="1"/>
  <c r="E88" i="3" s="1"/>
  <c r="P30" i="1"/>
  <c r="E87" i="3" s="1"/>
  <c r="P28" i="1"/>
  <c r="P60" i="1"/>
  <c r="P58" i="1"/>
  <c r="P57" i="1"/>
  <c r="P56" i="1"/>
  <c r="P55" i="1"/>
  <c r="P54" i="1"/>
  <c r="P53" i="1"/>
  <c r="P51" i="1"/>
  <c r="P50" i="1"/>
  <c r="P17" i="1"/>
  <c r="P16" i="1"/>
  <c r="P15" i="1"/>
  <c r="P48" i="1"/>
  <c r="P27" i="1"/>
  <c r="P47" i="1"/>
  <c r="P14" i="1"/>
  <c r="P26" i="1"/>
  <c r="P19" i="1"/>
  <c r="E19" i="3" s="1"/>
  <c r="P25" i="1"/>
  <c r="P20" i="1"/>
  <c r="P13" i="1"/>
  <c r="P12" i="1"/>
  <c r="P11" i="1"/>
  <c r="P10" i="1"/>
  <c r="P24" i="1"/>
  <c r="P9" i="1"/>
  <c r="P8" i="1"/>
  <c r="P7" i="1"/>
  <c r="P6" i="1"/>
  <c r="P5" i="1"/>
  <c r="P4" i="1"/>
  <c r="B67" i="1"/>
  <c r="B66" i="1" s="1"/>
  <c r="B64" i="1"/>
  <c r="Q52" i="1" l="1"/>
  <c r="E62" i="3"/>
  <c r="Q23" i="1"/>
  <c r="E31" i="3"/>
  <c r="Q22" i="1"/>
  <c r="E30" i="3"/>
  <c r="R46" i="1"/>
  <c r="Q45" i="1"/>
  <c r="R45" i="1" s="1"/>
  <c r="E61" i="3"/>
  <c r="E20" i="3"/>
  <c r="R18" i="1"/>
  <c r="Q29" i="1"/>
  <c r="E37" i="3"/>
  <c r="Q54" i="1"/>
  <c r="E75" i="3"/>
  <c r="Q51" i="1"/>
  <c r="E72" i="3"/>
  <c r="Q55" i="1"/>
  <c r="E76" i="3"/>
  <c r="Q58" i="1"/>
  <c r="E79" i="3"/>
  <c r="Q56" i="1"/>
  <c r="E77" i="3"/>
  <c r="Q32" i="1"/>
  <c r="E89" i="3"/>
  <c r="E42" i="3"/>
  <c r="Q50" i="1"/>
  <c r="E71" i="3"/>
  <c r="Q59" i="1"/>
  <c r="E80" i="3"/>
  <c r="Q53" i="1"/>
  <c r="E74" i="3"/>
  <c r="Q57" i="1"/>
  <c r="E78" i="3"/>
  <c r="Q35" i="1"/>
  <c r="E92" i="3"/>
  <c r="E45" i="3"/>
  <c r="Q43" i="1"/>
  <c r="E53" i="3"/>
  <c r="Q33" i="1"/>
  <c r="E43" i="3"/>
  <c r="Q42" i="1"/>
  <c r="E52" i="3"/>
  <c r="Q34" i="1"/>
  <c r="E44" i="3"/>
  <c r="Q44" i="1"/>
  <c r="E54" i="3"/>
  <c r="Q49" i="1"/>
  <c r="E39" i="3"/>
  <c r="Q48" i="1"/>
  <c r="E64" i="3"/>
  <c r="Q47" i="1"/>
  <c r="E63" i="3"/>
  <c r="Q60" i="1"/>
  <c r="E38" i="3"/>
  <c r="Q19" i="1"/>
  <c r="Q4" i="1"/>
  <c r="E5" i="3"/>
  <c r="Q8" i="1"/>
  <c r="E9" i="3"/>
  <c r="Q11" i="1"/>
  <c r="E12" i="3"/>
  <c r="Q25" i="1"/>
  <c r="E33" i="3"/>
  <c r="Q16" i="1"/>
  <c r="E17" i="3"/>
  <c r="Q30" i="1"/>
  <c r="E40" i="3"/>
  <c r="Q38" i="1"/>
  <c r="E48" i="3"/>
  <c r="Q7" i="1"/>
  <c r="E8" i="3"/>
  <c r="Q10" i="1"/>
  <c r="E11" i="3"/>
  <c r="Q20" i="1"/>
  <c r="E28" i="3"/>
  <c r="Q14" i="1"/>
  <c r="E15" i="3"/>
  <c r="Q15" i="1"/>
  <c r="E16" i="3"/>
  <c r="Q28" i="1"/>
  <c r="E36" i="3"/>
  <c r="Q37" i="1"/>
  <c r="E47" i="3"/>
  <c r="Q41" i="1"/>
  <c r="E51" i="3"/>
  <c r="Q5" i="1"/>
  <c r="E6" i="3"/>
  <c r="Q9" i="1"/>
  <c r="E10" i="3"/>
  <c r="Q12" i="1"/>
  <c r="E13" i="3"/>
  <c r="Q27" i="1"/>
  <c r="E35" i="3"/>
  <c r="Q17" i="1"/>
  <c r="E18" i="3"/>
  <c r="Q31" i="1"/>
  <c r="E41" i="3"/>
  <c r="Q39" i="1"/>
  <c r="E49" i="3"/>
  <c r="Q21" i="1"/>
  <c r="E29" i="3"/>
  <c r="Q6" i="1"/>
  <c r="E7" i="3"/>
  <c r="Q24" i="1"/>
  <c r="E32" i="3"/>
  <c r="Q13" i="1"/>
  <c r="E14" i="3"/>
  <c r="Q26" i="1"/>
  <c r="E34" i="3"/>
  <c r="Q36" i="1"/>
  <c r="E46" i="3"/>
  <c r="Q40" i="1"/>
  <c r="E50" i="3"/>
  <c r="H13" i="2"/>
  <c r="B65" i="1"/>
  <c r="R23" i="1" s="1"/>
  <c r="B63" i="1"/>
  <c r="B62" i="1"/>
  <c r="O4" i="1"/>
  <c r="O5" i="1"/>
  <c r="O6" i="1"/>
  <c r="O7" i="1"/>
  <c r="O8" i="1"/>
  <c r="O9" i="1"/>
  <c r="O24" i="1"/>
  <c r="O10" i="1"/>
  <c r="O11" i="1"/>
  <c r="O12" i="1"/>
  <c r="O13" i="1"/>
  <c r="O20" i="1"/>
  <c r="O25" i="1"/>
  <c r="O19" i="1"/>
  <c r="O26" i="1"/>
  <c r="O14" i="1"/>
  <c r="O47" i="1"/>
  <c r="O27" i="1"/>
  <c r="O48" i="1"/>
  <c r="O15" i="1"/>
  <c r="O17" i="1"/>
  <c r="O50" i="1"/>
  <c r="O51" i="1"/>
  <c r="O53" i="1"/>
  <c r="O54" i="1"/>
  <c r="O55" i="1"/>
  <c r="O56" i="1"/>
  <c r="O57" i="1"/>
  <c r="O58" i="1"/>
  <c r="O60" i="1"/>
  <c r="O28" i="1"/>
  <c r="O30" i="1"/>
  <c r="O31" i="1"/>
  <c r="O36" i="1"/>
  <c r="O37" i="1"/>
  <c r="O38" i="1"/>
  <c r="O39" i="1"/>
  <c r="O40" i="1"/>
  <c r="O41" i="1"/>
  <c r="R22" i="1" l="1"/>
  <c r="R29" i="1"/>
  <c r="E102" i="3"/>
  <c r="R35" i="1"/>
  <c r="E81" i="3"/>
  <c r="R53" i="1"/>
  <c r="R47" i="1"/>
  <c r="R54" i="1"/>
  <c r="R51" i="1"/>
  <c r="R32" i="1"/>
  <c r="R39" i="1"/>
  <c r="R17" i="1"/>
  <c r="R12" i="1"/>
  <c r="R5" i="1"/>
  <c r="R37" i="1"/>
  <c r="R15" i="1"/>
  <c r="R7" i="1"/>
  <c r="R38" i="1"/>
  <c r="R16" i="1"/>
  <c r="R11" i="1"/>
  <c r="R56" i="1"/>
  <c r="R50" i="1"/>
  <c r="R34" i="1"/>
  <c r="R59" i="1"/>
  <c r="R19" i="1"/>
  <c r="R52" i="1"/>
  <c r="R48" i="1"/>
  <c r="R49" i="1"/>
  <c r="R13" i="1"/>
  <c r="R9" i="1"/>
  <c r="R14" i="1"/>
  <c r="R10" i="1"/>
  <c r="R8" i="1"/>
  <c r="R57" i="1"/>
  <c r="R58" i="1"/>
  <c r="R55" i="1"/>
  <c r="R6" i="1"/>
  <c r="R60" i="1"/>
  <c r="R33" i="1"/>
  <c r="R42" i="1"/>
  <c r="R44" i="1"/>
  <c r="R43" i="1"/>
  <c r="E55" i="3"/>
  <c r="R40" i="1"/>
  <c r="R24" i="1"/>
  <c r="R36" i="1"/>
  <c r="R21" i="1"/>
  <c r="R31" i="1"/>
  <c r="R27" i="1"/>
  <c r="R41" i="1"/>
  <c r="R28" i="1"/>
  <c r="R30" i="1"/>
  <c r="R25" i="1"/>
  <c r="R26" i="1"/>
  <c r="R20" i="1"/>
  <c r="E65" i="3"/>
  <c r="R4" i="1"/>
  <c r="E58" i="1"/>
  <c r="E57" i="1"/>
  <c r="E56" i="1"/>
  <c r="E5" i="1"/>
  <c r="E4" i="1"/>
  <c r="G22" i="3" l="1"/>
  <c r="E22" i="3"/>
  <c r="H22" i="3" s="1"/>
  <c r="B68" i="1"/>
  <c r="E28" i="1"/>
  <c r="E60" i="1"/>
  <c r="E55" i="1"/>
  <c r="E54" i="1"/>
  <c r="E53" i="1"/>
  <c r="E52" i="1"/>
  <c r="B15" i="2" l="1"/>
  <c r="E30" i="1"/>
  <c r="E31" i="1"/>
  <c r="E36" i="1"/>
  <c r="E37" i="1"/>
  <c r="E38" i="1"/>
  <c r="E39" i="1"/>
  <c r="E40" i="1"/>
  <c r="E17" i="1"/>
  <c r="E16" i="1"/>
  <c r="E15" i="1"/>
  <c r="E48" i="1"/>
  <c r="E27" i="1"/>
  <c r="E47" i="1"/>
  <c r="E14" i="1"/>
  <c r="E26" i="1"/>
  <c r="E19" i="1"/>
  <c r="E25" i="1"/>
  <c r="E20" i="1"/>
  <c r="E13" i="1"/>
  <c r="E12" i="1"/>
  <c r="E11" i="1"/>
  <c r="E10" i="1"/>
  <c r="E24" i="1"/>
  <c r="E9" i="1"/>
  <c r="E8" i="1"/>
  <c r="E7" i="1"/>
  <c r="E6" i="1"/>
  <c r="G87" i="1" l="1"/>
  <c r="G84" i="1"/>
  <c r="G81" i="1"/>
  <c r="G86" i="1"/>
  <c r="G83" i="1"/>
  <c r="G80" i="1"/>
  <c r="G77" i="1"/>
  <c r="G74" i="1"/>
  <c r="G78" i="1"/>
  <c r="G75" i="1"/>
  <c r="E51" i="1" l="1"/>
  <c r="E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zavj02</author>
  </authors>
  <commentList>
    <comment ref="A1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Cena v sobě zahrnuje osobní náklady, režijní náklady, úklidové prostředky a zisk. Nemohou už k ní být přičítány žádné další položky.</t>
        </r>
      </text>
    </comment>
    <comment ref="A1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Cena v sobě zahrnuje osobní náklady, režijní náklady, úklidové prostředky a zisk. Nemohou už k ní být přičítány žádné další položky.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zavj02</author>
  </authors>
  <commentList>
    <comment ref="N3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 xml:space="preserve">Změnu doporučeného času na úklid je nutno řádně odůvodnit.
</t>
        </r>
      </text>
    </comment>
    <comment ref="P3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Tato cena bude rozhodující pro fakturaci úklidu  za jednotlivé úklidové jednotky.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zavj02</author>
  </authors>
  <commentList>
    <comment ref="A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Ctrl d - denní úklid       Ctrl t - týdenní úklid
Ctrl m - měsíční úklid    Ctrl - s sezonní úklid
Ctrl v - víkendový úklid</t>
        </r>
      </text>
    </comment>
    <comment ref="B21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Cena za 1 hodinu úklidu</t>
        </r>
      </text>
    </comment>
    <comment ref="D21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Popište provedené činnosti</t>
        </r>
      </text>
    </comment>
    <comment ref="F21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38"/>
          </rPr>
          <t>Vložit počet minut drobných úklidových prací. Popř. počet minut úklidové pohotovosti.</t>
        </r>
      </text>
    </comment>
    <comment ref="B60" authorId="0" shapeId="0" xr:uid="{00000000-0006-0000-0200-000005000000}">
      <text>
        <r>
          <rPr>
            <b/>
            <sz val="9"/>
            <color indexed="81"/>
            <rFont val="Tahoma"/>
            <family val="2"/>
            <charset val="238"/>
          </rPr>
          <t>u čtvrtletních a ročních zadajte požadovaný počet ůklidových jednotek pro daný měsíc.</t>
        </r>
      </text>
    </comment>
    <comment ref="B70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38"/>
          </rPr>
          <t>Zadejte počet úklidových jednotek požadovaný k úklidu pro daný měsíc.</t>
        </r>
      </text>
    </comment>
    <comment ref="B86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238"/>
          </rPr>
          <t>Zadejte počet úklidových jednotek požadovaný k úklidu pro daný víkend.</t>
        </r>
      </text>
    </comment>
  </commentList>
</comments>
</file>

<file path=xl/sharedStrings.xml><?xml version="1.0" encoding="utf-8"?>
<sst xmlns="http://schemas.openxmlformats.org/spreadsheetml/2006/main" count="359" uniqueCount="228">
  <si>
    <t>četnost úklidu</t>
  </si>
  <si>
    <t>Popis činnosti</t>
  </si>
  <si>
    <t>plocha
[m²]</t>
  </si>
  <si>
    <t>Poznámka</t>
  </si>
  <si>
    <t>denně</t>
  </si>
  <si>
    <t>týdně</t>
  </si>
  <si>
    <t>měsíčně</t>
  </si>
  <si>
    <t>čtvrtletně</t>
  </si>
  <si>
    <t>ročně</t>
  </si>
  <si>
    <t>označení</t>
  </si>
  <si>
    <t>období úklidu</t>
  </si>
  <si>
    <t>1. Q</t>
  </si>
  <si>
    <t>2. Q</t>
  </si>
  <si>
    <t>3. Q</t>
  </si>
  <si>
    <t>4. Q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</si>
  <si>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</si>
  <si>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</si>
  <si>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</si>
  <si>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</si>
  <si>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</si>
  <si>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</si>
  <si>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</si>
  <si>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</si>
  <si>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</si>
  <si>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</si>
  <si>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listopat</t>
  </si>
  <si>
    <t>prosinec</t>
  </si>
  <si>
    <t>CELKEM
[m²]
[ks]</t>
  </si>
  <si>
    <t>Kritéria</t>
  </si>
  <si>
    <t>sezonně</t>
  </si>
  <si>
    <t>Plocha celkem</t>
  </si>
  <si>
    <t>[m²]</t>
  </si>
  <si>
    <t>výtah velký</t>
  </si>
  <si>
    <t>výtah malý</t>
  </si>
  <si>
    <t>schodiště</t>
  </si>
  <si>
    <t>přilehlé zábradlí</t>
  </si>
  <si>
    <t>tv místnost</t>
  </si>
  <si>
    <t>posilovna</t>
  </si>
  <si>
    <t>studovna</t>
  </si>
  <si>
    <t>obyvák</t>
  </si>
  <si>
    <t>tělocvična</t>
  </si>
  <si>
    <t>kanceláře+zázemí</t>
  </si>
  <si>
    <t>místnost úklízeček a úklid.prost.</t>
  </si>
  <si>
    <t>sklad lůžkovin</t>
  </si>
  <si>
    <t xml:space="preserve">uklízečky soc. zařízení </t>
  </si>
  <si>
    <t>sklad- čistící prostředky</t>
  </si>
  <si>
    <t>sprcha - buňka</t>
  </si>
  <si>
    <t>jednolůžkový samostatný</t>
  </si>
  <si>
    <t>dvoulůžkový samostatný</t>
  </si>
  <si>
    <t>trojlůžkový samostatný</t>
  </si>
  <si>
    <t>terasa</t>
  </si>
  <si>
    <t>balkon</t>
  </si>
  <si>
    <t>Úklidová jednotka</t>
  </si>
  <si>
    <t>kolej: Rooseveltova, VŠE</t>
  </si>
  <si>
    <t>kusy
[-]</t>
  </si>
  <si>
    <t>počet
úklidových jednotek</t>
  </si>
  <si>
    <t>počet úklidů</t>
  </si>
  <si>
    <t>uklízí se</t>
  </si>
  <si>
    <t>sezonní
týden
od</t>
  </si>
  <si>
    <t>sezonní
týden
do</t>
  </si>
  <si>
    <t>uklízí se v
pracovní dny</t>
  </si>
  <si>
    <t>uklízí se o
víkendech</t>
  </si>
  <si>
    <t>Cena za 1 úklidovou hodinu:</t>
  </si>
  <si>
    <t>Cena za úklidovou jednotku
[Kč]</t>
  </si>
  <si>
    <t>doporučený čas na úklidovou jednotku
[min]</t>
  </si>
  <si>
    <t>Kč/hod.</t>
  </si>
  <si>
    <t>celkový čas úklidu všech úklidových jednotek
[hod.]</t>
  </si>
  <si>
    <t>Navrhovaný čas na úklidovou jednotku
[min.]</t>
  </si>
  <si>
    <t>Počet kusů celkem</t>
  </si>
  <si>
    <t>[-]</t>
  </si>
  <si>
    <t>svátky:</t>
  </si>
  <si>
    <t>Počet týdnů úklidu:</t>
  </si>
  <si>
    <t>Počet pracovních dnů úklidu:</t>
  </si>
  <si>
    <t>Počet měsíců úklidu:</t>
  </si>
  <si>
    <t>Počet let úklidu</t>
  </si>
  <si>
    <t>CENA CELKEM:</t>
  </si>
  <si>
    <t>Cena celkem za období úklidu
[Kč]</t>
  </si>
  <si>
    <t>[Kč]</t>
  </si>
  <si>
    <t>IČ:</t>
  </si>
  <si>
    <t>Sídlo:</t>
  </si>
  <si>
    <t>Zapsaná v:</t>
  </si>
  <si>
    <t>Identifikace subjektu podávajícího nabídku:</t>
  </si>
  <si>
    <t>Název subjektu:</t>
  </si>
  <si>
    <t>1. rok</t>
  </si>
  <si>
    <t>2. rok</t>
  </si>
  <si>
    <t>3. rok</t>
  </si>
  <si>
    <t>4. rok</t>
  </si>
  <si>
    <t>Předpoklad roční inflace</t>
  </si>
  <si>
    <t>cena celkem za všechny úklidové jednotky 
(prac. dny)
[Kč]</t>
  </si>
  <si>
    <t>sprcha - buňka -  HOTEL</t>
  </si>
  <si>
    <t>jednolůžkový samostatný -  HOTEL</t>
  </si>
  <si>
    <t>dvoulůžkový samostatný -  HOTEL</t>
  </si>
  <si>
    <t>trojlůžkový samostatný -  HOTEL</t>
  </si>
  <si>
    <t>Karta úklidu</t>
  </si>
  <si>
    <t>DENNÍ ÚKLID                       DNE:</t>
  </si>
  <si>
    <t>TÝDENNÍ ÚKLID                 TÝDEN:</t>
  </si>
  <si>
    <t>Podpis vedoucí směny:</t>
  </si>
  <si>
    <t>Podpis zástupce vedení koleje:</t>
  </si>
  <si>
    <t>K FAKTURACI CELKEM:</t>
  </si>
  <si>
    <t>Smluvní pokuta
[Kč]</t>
  </si>
  <si>
    <t>Správně
uklizené
jednotky</t>
  </si>
  <si>
    <t>MĚSÍČNÍ ÚKLID                 MĚSÍC:</t>
  </si>
  <si>
    <t>WC suterén</t>
  </si>
  <si>
    <t>otřít zabradlí a parapet a utřít prach, odstranit pavučiny</t>
  </si>
  <si>
    <t>WC - buňka -  HOTEL</t>
  </si>
  <si>
    <t>zamést podlahu, vynést odpadky, umýt dveře včetně zárubní, otřít a urovnat nábytek</t>
  </si>
  <si>
    <t>SEZONNÍ ÚKLID                 MĚSÍC:</t>
  </si>
  <si>
    <t>ÚKLID O VÍKENDU                 DNE:</t>
  </si>
  <si>
    <t>cena celkem za všechny úklidové jednotky 
(VÍKEND)
[Kč]</t>
  </si>
  <si>
    <t>WC - buňka</t>
  </si>
  <si>
    <t>přebrání pokoje po ubytovaných</t>
  </si>
  <si>
    <t>V komentáři jsou zkatky pro tisk</t>
  </si>
  <si>
    <t>Okna (různé velikosti)</t>
  </si>
  <si>
    <t>CENA pracovní dny [Kč/hodinu/člověka]:</t>
  </si>
  <si>
    <t>CENA víkendy [Kč/hodinu/člověka]:</t>
  </si>
  <si>
    <t>OBDOBÍ:</t>
  </si>
  <si>
    <t>Úklidová pohotovost + Operativní úklidové práce dle požadavku vedoucí koleje</t>
  </si>
  <si>
    <t>Úklidová činnost</t>
  </si>
  <si>
    <t>Úklidová činnost probíhá v čase od 07:00 hod. do 15.00 hod. v jednosměnném provozu v pětidenním pracovním týdnu, úklid hotelových pokojů musí být dle potřeby zajištěn i o víkendu. V době nastěhování a vystěhování studentů koncem letního semestru a začátkem zimního semestru stanovuje dobu pro úklid podle aktuálních potřeb vedoucí/zástupce vedoucí koleje a to včetně úklidu o víkendu. Při úklidu je potřeba používat úklidové, čistící a desinfekční prostředky vhodné pro daný předmět úklidu a dodržovat návody na použití příslušných úklidových, čistících a desinfekčních prostředků a bezpečnostní a hygienická pravidla</t>
  </si>
  <si>
    <t>Definice pojmů:</t>
  </si>
  <si>
    <t>Zametání</t>
  </si>
  <si>
    <t>pomocí vhodného smetáku zamést dané podlahové plochy.</t>
  </si>
  <si>
    <t xml:space="preserve">Vytírání </t>
  </si>
  <si>
    <t>pomocí mopu za použití vody a odpovídajícího saponátu vytřít dané podlahové plochy.</t>
  </si>
  <si>
    <t xml:space="preserve">Mytí </t>
  </si>
  <si>
    <t>pomocí hadru, utěrky nebo houbičky, za použití vody a odpovídajícího saponátu, umýt plochy nábytku, dveří, spotřebičů, keramických a jiných obkladů, topení apod.</t>
  </si>
  <si>
    <t xml:space="preserve">Čištění </t>
  </si>
  <si>
    <t>důkladné čištění, zvláště skvrn, za pomocí odpovídajících čisticích prostředků, ploch nábytku, dveří, spotřebičů, keramických a jiných obkladů, topení apod.</t>
  </si>
  <si>
    <t xml:space="preserve">Desinfekce </t>
  </si>
  <si>
    <t>po umytí nebo vyčištění daných ploch, podlah, spotřebičů aj. použít podle návodu odpovídající desinfekční prostředek.</t>
  </si>
  <si>
    <t xml:space="preserve">Leštění </t>
  </si>
  <si>
    <t>leštění všech skleněných a zrcadlových ploch za použití odpovídajícího přípravku na mytí a leštění skel.</t>
  </si>
  <si>
    <t xml:space="preserve">Luxování </t>
  </si>
  <si>
    <t>čištění podlah za použití vysavače.</t>
  </si>
  <si>
    <t xml:space="preserve">Strojové čištění </t>
  </si>
  <si>
    <t>se provádí za použití čistícího stroje na vodní nebo parní bázi (strojové čištění postelí, matrací, koberců apod.).</t>
  </si>
  <si>
    <t>Stírání prachu</t>
  </si>
  <si>
    <t>setření prachu vhodnou utěrkou za použití odpovídajícího přípravku na odstranění prachu, odstranění pavučin.</t>
  </si>
  <si>
    <t xml:space="preserve">Úklid odpadů </t>
  </si>
  <si>
    <t>řádné uvolnění, umytí, vyčištění a vydesinfikování odpadů na soc. zařízeních, WC, umývárnách a sprchových koutech za použití odpovídajících přípravků.</t>
  </si>
  <si>
    <t xml:space="preserve">Mimořádný úklid </t>
  </si>
  <si>
    <t>úklid znečištěného WC (mimo mísu), umývárny nebo společných prostor zvratky nebo exkrementy (uklízečka vyrozumí vedoucí/zástupce vedoucí koleje).</t>
  </si>
  <si>
    <t xml:space="preserve">Mytí oken </t>
  </si>
  <si>
    <t>umytí parapetů na mokro za použití odpovídajícího saponátu, umytí rámů oken na mokro za použití odpovídajícího saponátu, umytí a vyleštění oken odpovídajícím přípravkem na mytí a leštění oken.</t>
  </si>
  <si>
    <t xml:space="preserve">Zalévání květin </t>
  </si>
  <si>
    <t>zalití květin čistou odstátou vodou v přiměřeném množství s ohledem na druh rostliny. Podle potřeby použít odpovídající hnojivo v dávkování podle návodu k použití.</t>
  </si>
  <si>
    <t>Vynášení a likvidace odpadu</t>
  </si>
  <si>
    <t>vynesení odpadu ze všech odpadních nádob (i z prostoru okolo těchto nádob), a ze skartovaček, umytí odpadních nádob a doplnění pytlů na odpadky do odpadních nádob. Odpad dle možnosti vhodným způsobem třídit.</t>
  </si>
  <si>
    <t xml:space="preserve">Doplňování hotelových potřeb </t>
  </si>
  <si>
    <t>v hotelovém provozu doplnit toaletní papír do zásobníků doplnit ručníky a hotelové mýdlo.</t>
  </si>
  <si>
    <t>Číslo typové činnosti</t>
  </si>
  <si>
    <t>Popis typových pracovních činností:</t>
  </si>
  <si>
    <t>1.</t>
  </si>
  <si>
    <r>
      <rPr>
        <b/>
        <sz val="11"/>
        <color theme="1"/>
        <rFont val="Calibri"/>
        <family val="2"/>
        <charset val="238"/>
      </rPr>
      <t>Úklidem společných prostor, podlah chodeb, schodišť a vestibulu se rozumí:</t>
    </r>
    <r>
      <rPr>
        <sz val="11"/>
        <color theme="1"/>
        <rFont val="Calibri"/>
        <family val="2"/>
        <charset val="238"/>
        <scheme val="minor"/>
      </rPr>
      <t xml:space="preserve">
zamést a vytřít podlahy, odstranit našlapané žvýkačky a jiné nečistoty, vyluxovat podlahy kryté kobercem. Umýt parapety, zábradlí a hasicí přístroje umístěné na chodbách, vyleštit skleněné plochy na chodbách a ve vestibulech, setřít prach a pavučiny. Sepsat a nahlásit vedení koleje všechny závady a škody.</t>
    </r>
  </si>
  <si>
    <t>2.</t>
  </si>
  <si>
    <r>
      <rPr>
        <b/>
        <sz val="11"/>
        <color theme="1"/>
        <rFont val="Calibri"/>
        <family val="2"/>
        <charset val="238"/>
      </rPr>
      <t xml:space="preserve">Úklidem balkonů se rozumí: </t>
    </r>
    <r>
      <rPr>
        <sz val="11"/>
        <color theme="1"/>
        <rFont val="Calibri"/>
        <family val="2"/>
        <charset val="238"/>
        <scheme val="minor"/>
      </rPr>
      <t xml:space="preserve">
zamést a vytřít podlahy, odstranit našlapané žvýkačky a jiné nečistoty, umýt parapety a zábradlí. Odstranit pavučiny. Vynést odpady a popř. i vysypat popelníky.</t>
    </r>
  </si>
  <si>
    <t>3.</t>
  </si>
  <si>
    <t>4.</t>
  </si>
  <si>
    <r>
      <rPr>
        <b/>
        <sz val="11"/>
        <color theme="1"/>
        <rFont val="Calibri"/>
        <family val="2"/>
        <charset val="238"/>
      </rPr>
      <t>Úklidem prádelen se rozumí:</t>
    </r>
    <r>
      <rPr>
        <sz val="11"/>
        <color theme="1"/>
        <rFont val="Calibri"/>
        <family val="2"/>
        <charset val="238"/>
        <scheme val="minor"/>
      </rPr>
      <t xml:space="preserve">
zamést a vytřít podlahy, setřít prach a pavučiny ze všech dosažitelných a volně přístupných míst a zařízení místností (praček, topení, apod.). Vyčistit filtry praček, vyčistit zásobníky na prášek. Umýt a vyčistit dveře, kliky, vypínače a světla. Srovnat nebo dověsit záclony a závěsy. Vyleštit zrcadla. Vynést odpad. Sepsat a nahlásit vedení koleje všechny závady a škody.</t>
    </r>
  </si>
  <si>
    <t>5.</t>
  </si>
  <si>
    <r>
      <rPr>
        <b/>
        <sz val="11"/>
        <color theme="1"/>
        <rFont val="Calibri"/>
        <family val="2"/>
        <charset val="238"/>
      </rPr>
      <t>Úklidem kuchyněk se rozumí:</t>
    </r>
    <r>
      <rPr>
        <sz val="11"/>
        <color theme="1"/>
        <rFont val="Calibri"/>
        <family val="2"/>
        <charset val="238"/>
        <scheme val="minor"/>
      </rPr>
      <t xml:space="preserve">
umýt, vyčistit a vydesinfikovat sporák, vařič, mikrovlnnou troubu, digestoř, pracovní desky a zařízení místnosti kuchyňky. Umýt, vyčistit a vydesinfikovat obklady. Pokud je kuchyňka vybavena nádobím umýt nádobí. Odmrazit a vyčistit lednici. Odstranit všechny prošlé nebo kazící se potraviny. Zamést a vytřít podlahy. Vynést odpad. Setřít prach a pavučiny. Sepsat a nahlásit vedení koleje všechny závady a škody.</t>
    </r>
  </si>
  <si>
    <t>6.</t>
  </si>
  <si>
    <r>
      <rPr>
        <b/>
        <sz val="11"/>
        <color theme="1"/>
        <rFont val="Calibri"/>
        <family val="2"/>
        <charset val="238"/>
      </rPr>
      <t>Generálním úklidem pokojů po odchodu studentů se rozumí:</t>
    </r>
    <r>
      <rPr>
        <sz val="11"/>
        <color theme="1"/>
        <rFont val="Calibri"/>
        <family val="2"/>
        <charset val="238"/>
        <scheme val="minor"/>
      </rPr>
      <t xml:space="preserve">
umýt nábytek z venku (postele, stoly, židle, police, skříně apod.) i zevnitř (skříně, šuplíky, peřináče, postele apod.) a vyčistit od skvrn. Vyleštit zrcadla a okna. Vyluxovat/strojově vyčistit matrace postelí. Setřít prach a pavučiny (včetně žaluzií). Umýt a vyčistit veškeré obložení, lišty, obrazy, dveře, kliky, rámy oken, parapety, vypínače, zásuvky, topení, světla, lampičky apod. Umýt ledničku zevnitř i zvenku. Zamést a vytřít podlahy, podlahy kryté kobercem vyluxovat, a to i pod a za postelí, křesly a závěsy. Srovnat nebo dověsit záclony a závěsy, srovnat nábytek a jiné vybavení pokoje. Vynést odpad, umýt, otřít a vyleštit odpadkový koš. Zlikvidovat případné komáry a mouchy. Vyvětrat a popř. i navonět. Sepsat a nahlásit vedení koleje všechny závady a škody. Případné nalezené věci po ubytovaných předat vedení koleje.</t>
    </r>
  </si>
  <si>
    <t>7.</t>
  </si>
  <si>
    <r>
      <rPr>
        <b/>
        <sz val="11"/>
        <color theme="1"/>
        <rFont val="Calibri"/>
        <family val="2"/>
        <charset val="238"/>
      </rPr>
      <t>Úklidem předsíní buněk se rozumí:</t>
    </r>
    <r>
      <rPr>
        <sz val="11"/>
        <color theme="1"/>
        <rFont val="Calibri"/>
        <family val="2"/>
        <charset val="238"/>
        <scheme val="minor"/>
      </rPr>
      <t xml:space="preserve">
úklid sociálního zařízení podle bodu 14. a 15. úklid kuchyňky podle bodu 5. Zamést a vytřít podlahy. Umýt a vyčistit pracovní plochy a nábytek. Setřít prach a pavučiny. Vynést odpad. Sepsat a nahlásit vedení koleje všechny závady a škody.</t>
    </r>
  </si>
  <si>
    <t>8.</t>
  </si>
  <si>
    <r>
      <rPr>
        <b/>
        <sz val="11"/>
        <color theme="1"/>
        <rFont val="Calibri"/>
        <family val="2"/>
        <charset val="238"/>
      </rPr>
      <t>Úklidem hotelových pokojů po vystěhování se rozumí:</t>
    </r>
    <r>
      <rPr>
        <sz val="11"/>
        <color theme="1"/>
        <rFont val="Calibri"/>
        <family val="2"/>
        <charset val="238"/>
        <scheme val="minor"/>
      </rPr>
      <t xml:space="preserve">
umýt nábytek z venku (postele, stoly, židle, police, skříně apod.) i zevnitř (skříně, šuplíky, peřináče, postele apod.) a vyčistit od skvrn. Vyleštit zrcadla a okna. Převléct a ustlat postele, vyluxovat/strojově vyčistit matrace postelí. Setřít prach a pavučiny (včetně žaluzií). Umýt a vyčistit veškeré obložení, lišty, obrazy, dveře, kliky, rámy oken, parapety, vypínače, zásuvky, televizi, topení, světla, lampičky apod. Umýt nádobí. Umýt ledničku zevnitř i zvenku. Zamést a vytřít podlahy, podlahy kryté kobercem vyluxovat, a to i pod a za postelí, křesly a závěsy. Srovnat nebo dověsit záclony a závěsy, srovnat nábytek a jiné vybavení pokoje. Vynést odpad, umýt, otřít a vyleštit odpadkový koš. Zlikvidovat případné komáry a mouchy. Doplnit hotelové potřeby. Vyvětrat a popř. i navonět. Předat složené použité prádlo a ručníky skladní. Sepsat a nahlásit vedení koleje všechny závady a škody. Případné nalezené věci po hostech předat vedení koleje.</t>
    </r>
  </si>
  <si>
    <t>9.</t>
  </si>
  <si>
    <r>
      <rPr>
        <b/>
        <sz val="11"/>
        <color theme="1"/>
        <rFont val="Calibri"/>
        <family val="2"/>
        <charset val="238"/>
      </rPr>
      <t>Úklidem hotelových pokojů v průběhu ubytování se rozumí:</t>
    </r>
    <r>
      <rPr>
        <sz val="11"/>
        <color theme="1"/>
        <rFont val="Calibri"/>
        <family val="2"/>
        <charset val="238"/>
        <scheme val="minor"/>
      </rPr>
      <t xml:space="preserve">
ustlání postelí, popř. výměna ložního prádla každý 4. den pobytu, výměna osušek a ručníků, doplnění toaletního papíru, vynesení odpadků, umytí koupelny (sprchový kout, WC, umyvadlo), vytření podlahy.</t>
    </r>
  </si>
  <si>
    <t>10.</t>
  </si>
  <si>
    <r>
      <rPr>
        <b/>
        <sz val="11"/>
        <color theme="1"/>
        <rFont val="Calibri"/>
        <family val="2"/>
        <charset val="238"/>
      </rPr>
      <t>Přebráním uklizeného pokoje po studentech se rozumí:</t>
    </r>
    <r>
      <rPr>
        <sz val="11"/>
        <color theme="1"/>
        <rFont val="Calibri"/>
        <family val="2"/>
        <charset val="238"/>
        <scheme val="minor"/>
      </rPr>
      <t xml:space="preserve">
podle bodu 6. a 7. zkontrolovat úklid provedený studenty. Přebrat klíče od pokoje. Podepsat potvrzení o řádně provedeném úklidu a odevzdání klíčů. Sepsat a nahlásit vedení koleje všechny závady a škody. V případě nutnosti upozornit studenty na nedostatky v úklidu s tím, že je musí ve stanovené době odstranit, po té provést novou kontrolu úklidu. V případě, že ani napodruhé nebude pokoj řádně uklizen nahlásit tuto skutečnost vedení koleje.</t>
    </r>
  </si>
  <si>
    <t>11.</t>
  </si>
  <si>
    <r>
      <rPr>
        <b/>
        <sz val="11"/>
        <color theme="1"/>
        <rFont val="Calibri"/>
        <family val="2"/>
        <charset val="238"/>
      </rPr>
      <t>Úklidem výtahu se rozumí:</t>
    </r>
    <r>
      <rPr>
        <sz val="11"/>
        <color theme="1"/>
        <rFont val="Calibri"/>
        <family val="2"/>
        <charset val="238"/>
        <scheme val="minor"/>
      </rPr>
      <t xml:space="preserve">
zametení a vytření podlahy, vyčištění dveřních drážek, mytí stěn, mytí světel, jsou li instalována vyleštění zrcadel.</t>
    </r>
  </si>
  <si>
    <t>12.</t>
  </si>
  <si>
    <r>
      <rPr>
        <b/>
        <sz val="11"/>
        <color theme="1"/>
        <rFont val="Calibri"/>
        <family val="2"/>
        <charset val="238"/>
      </rPr>
      <t>Mytím oken se rozumí:</t>
    </r>
    <r>
      <rPr>
        <sz val="11"/>
        <color theme="1"/>
        <rFont val="Calibri"/>
        <family val="2"/>
        <charset val="238"/>
        <scheme val="minor"/>
      </rPr>
      <t xml:space="preserve">
mytí a leštění skel, mytí rámů, mytí parapetu, jsou-li instalovány setření žaluzií.</t>
    </r>
  </si>
  <si>
    <t>13.</t>
  </si>
  <si>
    <r>
      <rPr>
        <b/>
        <sz val="11"/>
        <color theme="1"/>
        <rFont val="Calibri"/>
        <family val="2"/>
        <charset val="238"/>
      </rPr>
      <t>Čištěním matrací:</t>
    </r>
    <r>
      <rPr>
        <sz val="11"/>
        <color theme="1"/>
        <rFont val="Calibri"/>
        <family val="2"/>
        <charset val="238"/>
        <scheme val="minor"/>
      </rPr>
      <t xml:space="preserve">
vyčištění matrací parním strojem.</t>
    </r>
  </si>
  <si>
    <t>14.</t>
  </si>
  <si>
    <r>
      <rPr>
        <b/>
        <sz val="11"/>
        <color theme="1"/>
        <rFont val="Calibri"/>
        <family val="2"/>
        <charset val="238"/>
      </rPr>
      <t>Úklidem WC se rozumí:</t>
    </r>
    <r>
      <rPr>
        <sz val="11"/>
        <color theme="1"/>
        <rFont val="Calibri"/>
        <family val="2"/>
        <charset val="238"/>
        <scheme val="minor"/>
      </rPr>
      <t xml:space="preserve">
umýt, vyčistit a vydesinfikovat místnost WC, umýt záchodovou mísu zevnitř i zvenku umýt nohu a trubku za WC, umýt prkýnko a nádobu na splachovací vodu, popř. umýt pisoáry, umyvadla, baterie, obklady, odpady, podlahy a dveře. Otřít držák na toaletní papír. Umýt dlaždičky a silikon od plísně. Vylít vodu a otřít pouzdro na WC štětku. Vyleštit zrcadla. Vynést odpad. Setřít prach a pavučiny. Vždy za použití odpovídajícího mycího/čistícího přípravku.</t>
    </r>
  </si>
  <si>
    <t>15.</t>
  </si>
  <si>
    <r>
      <rPr>
        <b/>
        <sz val="11"/>
        <color theme="1"/>
        <rFont val="Calibri"/>
        <family val="2"/>
        <charset val="238"/>
      </rPr>
      <t>Úklidem koupelen a sprch se rozumí:</t>
    </r>
    <r>
      <rPr>
        <sz val="11"/>
        <color theme="1"/>
        <rFont val="Calibri"/>
        <family val="2"/>
        <charset val="238"/>
        <scheme val="minor"/>
      </rPr>
      <t xml:space="preserve">
umýt, vyčistit a vydesinfikovat umyvadlo zevnitř i zvenku včetně trubek pod ním, baterie, sprchový kout, obklady, poličku nad umyvadlem i ve sprchovém koutě, odpady, podlahy a dveře. Umýt stěny sprchového koutu, gumové těsnění popř. závěs sprchového koutu. Odstranit rez a vodní kámen. Vynést odpad. Vyleštit zrcadlo, poličku, sprchu a držák na sprchu. Umýt dlaždičky a silikon od plísně. Vynést odpad. Setřít prach a pavučiny. Vždy za použití odpovídajícího mycího/čistícího přípravku</t>
    </r>
  </si>
  <si>
    <t>NABÍDKOVÁ CENA CELKEM ZA ZAKÁZKU:</t>
  </si>
  <si>
    <t>Úklidová činnost č. 11</t>
  </si>
  <si>
    <t>Úklidová činnost č, 1</t>
  </si>
  <si>
    <t>Úklidová činnost č. 3</t>
  </si>
  <si>
    <r>
      <rPr>
        <b/>
        <sz val="11"/>
        <color theme="1"/>
        <rFont val="Calibri"/>
        <family val="2"/>
        <charset val="238"/>
      </rPr>
      <t>Úklidem společenských, (studoven, kluboven apod.) zájmových (posiloven, tělocvičen apod.) a zasedacích místností, kanceláří, skladů a šaten se rozumí:</t>
    </r>
    <r>
      <rPr>
        <sz val="11"/>
        <color theme="1"/>
        <rFont val="Calibri"/>
        <family val="2"/>
        <charset val="238"/>
        <scheme val="minor"/>
      </rPr>
      <t xml:space="preserve">
zamést a vytřít podlahy, podlahy pokryté kobercem vyluxovat, setřít prach a pavučiny ze všech dosažitelných a volně přístupných míst a zařízení místností (topení, cvičební nářadí apod.), umýt a vyčistit skvrny kolem klik, dveří, vypínačů a světel. Srovnat nábytek a jiné vybavení místností. Srovnat nebo dověsit záclony a závěsy. Vyleštit zrcadla. Vynést odpad. Sepsat a nahlásit vedení koleje všechny závady a škody.</t>
    </r>
  </si>
  <si>
    <t>Úklidová činnost č. 4</t>
  </si>
  <si>
    <t>Úklidová činnost č. 14</t>
  </si>
  <si>
    <t>Úklidová činnost č. 14 a 15</t>
  </si>
  <si>
    <t>Úklidová činnost č. 5</t>
  </si>
  <si>
    <t>Úklidová činnost č. 2</t>
  </si>
  <si>
    <t>Úklidová činnost č. 12</t>
  </si>
  <si>
    <t>Úklidová činnost č. 8</t>
  </si>
  <si>
    <t>Úklidová činnost č. 15</t>
  </si>
  <si>
    <t>Úklidová činnost č. 9</t>
  </si>
  <si>
    <t>Úklidová činnopst č. 6</t>
  </si>
  <si>
    <t>Úklidová činnost č. 10</t>
  </si>
  <si>
    <t>Úklidová činnost č. 6</t>
  </si>
  <si>
    <t>herní místnost</t>
  </si>
  <si>
    <t>Doba úklidu
[hod.]</t>
  </si>
  <si>
    <t>počet úklidů týdně</t>
  </si>
  <si>
    <t>Denní ekvivalent:</t>
  </si>
  <si>
    <t>Přepočtený počet uklízeček na den:</t>
  </si>
  <si>
    <t>dvoulůžkový pokoj- buňka -  HOTEL</t>
  </si>
  <si>
    <t>jedolůžkový pokoj- buňka -  HOTEL</t>
  </si>
  <si>
    <t>chodba+kuchyňka- buňka -  HOTEL</t>
  </si>
  <si>
    <t>jednolůžkový pokoj (buňka)</t>
  </si>
  <si>
    <t>dvoulůžkový pokoj (buňka)</t>
  </si>
  <si>
    <t>třílůžkový pokoj (buňka)</t>
  </si>
  <si>
    <t>třílůžkový pokoj- buňka -  HOTEL</t>
  </si>
  <si>
    <t>chodba + kuchyňka - buňka</t>
  </si>
  <si>
    <t>patro chodba 2.-6.NP</t>
  </si>
  <si>
    <t>patro chodba 7. NP</t>
  </si>
  <si>
    <t>patro chodba 1. NP</t>
  </si>
  <si>
    <t>sušárna + prádelna</t>
  </si>
  <si>
    <t>HYGIENICKÉ ZÁZEMÍ 1. NP</t>
  </si>
  <si>
    <t>WC + sprcha 1.-7. NP</t>
  </si>
  <si>
    <t>kuchyňky 1.-7. NP</t>
  </si>
  <si>
    <t>kolárna</t>
  </si>
  <si>
    <t>místnost s popelnicemi</t>
  </si>
  <si>
    <t>Úklidová činnost č. 3 + odpad kolem popelnic uklidit do popelnic</t>
  </si>
  <si>
    <t>WC + sprcha 1.-7. NP - obklady</t>
  </si>
  <si>
    <t>Úklidová činnost č. 3, a 14</t>
  </si>
  <si>
    <t>Otřít obklady, vyčistit spáry mezi dlaždičkami, vydesinfikovat plísně.</t>
  </si>
  <si>
    <t>kuchyňky 1.-7. NP - obklady</t>
  </si>
  <si>
    <t>vyluxování drážek dveří v každém patře</t>
  </si>
  <si>
    <t>výtah velký - čištění drážek dveří</t>
  </si>
  <si>
    <t>výtah malý - čištění drážek dveří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</si>
</sst>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#,##0.000"/>
    <numFmt numFmtId="166" formatCode="#,##0.00\ &quot;Kč&quot;"/>
    <numFmt numFmtId="167" formatCode="#,##0.0000"/>
    <numFmt numFmtId="168" formatCode="0.0000"/>
    <numFmt numFmtId="169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633777886288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93">
    <xf numFmtId="0" fontId="0" fillId="0" borderId="0" xfId="0"/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3" fontId="0" fillId="0" borderId="1" xfId="0" applyNumberFormat="1" applyBorder="1" applyAlignment="1" applyProtection="1">
      <alignment vertical="center" wrapText="1"/>
    </xf>
    <xf numFmtId="3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vertical="center" wrapText="1"/>
    </xf>
    <xf numFmtId="0" fontId="0" fillId="0" borderId="0" xfId="0" applyFill="1" applyProtection="1"/>
    <xf numFmtId="3" fontId="0" fillId="0" borderId="1" xfId="0" applyNumberFormat="1" applyFill="1" applyBorder="1" applyAlignment="1" applyProtection="1">
      <alignment vertical="center" wrapText="1"/>
    </xf>
    <xf numFmtId="3" fontId="0" fillId="0" borderId="0" xfId="0" applyNumberForma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4" borderId="0" xfId="0" applyFill="1" applyAlignment="1" applyProtection="1">
      <alignment vertical="center"/>
    </xf>
    <xf numFmtId="164" fontId="0" fillId="4" borderId="0" xfId="0" applyNumberFormat="1" applyFill="1" applyAlignment="1" applyProtection="1">
      <alignment vertical="center"/>
    </xf>
    <xf numFmtId="0" fontId="0" fillId="0" borderId="0" xfId="0" applyAlignment="1" applyProtection="1">
      <alignment horizontal="center"/>
    </xf>
    <xf numFmtId="3" fontId="0" fillId="4" borderId="0" xfId="0" applyNumberFormat="1" applyFill="1" applyAlignment="1" applyProtection="1">
      <alignment vertical="center"/>
    </xf>
    <xf numFmtId="14" fontId="0" fillId="0" borderId="0" xfId="0" applyNumberFormat="1" applyAlignment="1" applyProtection="1">
      <alignment horizontal="center" vertical="center"/>
    </xf>
    <xf numFmtId="14" fontId="0" fillId="0" borderId="0" xfId="0" applyNumberFormat="1" applyProtection="1"/>
    <xf numFmtId="14" fontId="0" fillId="0" borderId="0" xfId="0" applyNumberForma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14" fontId="5" fillId="0" borderId="0" xfId="0" applyNumberFormat="1" applyFont="1" applyAlignment="1" applyProtection="1">
      <alignment vertical="center"/>
    </xf>
    <xf numFmtId="14" fontId="5" fillId="0" borderId="0" xfId="0" applyNumberFormat="1" applyFont="1" applyAlignment="1" applyProtection="1">
      <alignment horizontal="center" vertical="center"/>
    </xf>
    <xf numFmtId="0" fontId="6" fillId="5" borderId="0" xfId="0" applyFont="1" applyFill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4" fontId="0" fillId="0" borderId="0" xfId="0" applyNumberFormat="1" applyAlignment="1" applyProtection="1">
      <alignment vertical="center"/>
    </xf>
    <xf numFmtId="0" fontId="6" fillId="5" borderId="0" xfId="0" applyFont="1" applyFill="1" applyAlignment="1" applyProtection="1">
      <alignment horizontal="left" vertical="center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6" borderId="6" xfId="0" applyFill="1" applyBorder="1" applyAlignment="1" applyProtection="1">
      <alignment wrapText="1"/>
      <protection locked="0"/>
    </xf>
    <xf numFmtId="0" fontId="0" fillId="6" borderId="8" xfId="0" applyFill="1" applyBorder="1" applyAlignment="1" applyProtection="1">
      <alignment wrapText="1"/>
      <protection locked="0"/>
    </xf>
    <xf numFmtId="4" fontId="0" fillId="0" borderId="0" xfId="0" applyNumberFormat="1" applyAlignment="1" applyProtection="1">
      <alignment horizontal="center" vertical="center"/>
    </xf>
    <xf numFmtId="4" fontId="1" fillId="6" borderId="13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 applyFill="1" applyAlignment="1" applyProtection="1">
      <alignment vertical="center"/>
    </xf>
    <xf numFmtId="3" fontId="0" fillId="0" borderId="1" xfId="0" applyNumberFormat="1" applyFill="1" applyBorder="1" applyAlignment="1" applyProtection="1">
      <alignment horizontal="right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vertical="center"/>
    </xf>
    <xf numFmtId="0" fontId="1" fillId="0" borderId="0" xfId="0" applyFont="1" applyProtection="1"/>
    <xf numFmtId="0" fontId="0" fillId="0" borderId="0" xfId="0" applyAlignment="1" applyProtection="1">
      <alignment wrapText="1"/>
    </xf>
    <xf numFmtId="0" fontId="1" fillId="0" borderId="0" xfId="0" applyFont="1" applyFill="1" applyBorder="1" applyAlignment="1" applyProtection="1">
      <alignment horizontal="right" vertic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1" fillId="0" borderId="12" xfId="0" applyFont="1" applyFill="1" applyBorder="1" applyAlignment="1" applyProtection="1">
      <alignment horizontal="right" vertical="center"/>
    </xf>
    <xf numFmtId="10" fontId="0" fillId="0" borderId="5" xfId="1" applyNumberFormat="1" applyFont="1" applyBorder="1" applyProtection="1"/>
    <xf numFmtId="10" fontId="0" fillId="0" borderId="1" xfId="1" applyNumberFormat="1" applyFont="1" applyBorder="1" applyProtection="1"/>
    <xf numFmtId="10" fontId="0" fillId="0" borderId="6" xfId="1" applyNumberFormat="1" applyFont="1" applyBorder="1" applyProtection="1"/>
    <xf numFmtId="168" fontId="0" fillId="0" borderId="0" xfId="0" applyNumberFormat="1" applyProtection="1"/>
    <xf numFmtId="167" fontId="0" fillId="0" borderId="5" xfId="0" applyNumberFormat="1" applyBorder="1" applyProtection="1"/>
    <xf numFmtId="167" fontId="0" fillId="0" borderId="1" xfId="0" applyNumberFormat="1" applyBorder="1" applyProtection="1"/>
    <xf numFmtId="167" fontId="0" fillId="0" borderId="6" xfId="0" applyNumberFormat="1" applyBorder="1" applyProtection="1"/>
    <xf numFmtId="167" fontId="0" fillId="0" borderId="0" xfId="0" applyNumberFormat="1" applyProtection="1"/>
    <xf numFmtId="167" fontId="0" fillId="0" borderId="7" xfId="0" applyNumberFormat="1" applyBorder="1" applyProtection="1"/>
    <xf numFmtId="167" fontId="0" fillId="0" borderId="11" xfId="0" applyNumberFormat="1" applyBorder="1" applyProtection="1"/>
    <xf numFmtId="167" fontId="0" fillId="0" borderId="8" xfId="0" applyNumberFormat="1" applyBorder="1" applyProtection="1"/>
    <xf numFmtId="4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wrapText="1"/>
    </xf>
    <xf numFmtId="0" fontId="0" fillId="6" borderId="1" xfId="0" applyFill="1" applyBorder="1" applyAlignment="1" applyProtection="1">
      <alignment vertical="center" wrapText="1"/>
      <protection locked="0"/>
    </xf>
    <xf numFmtId="166" fontId="13" fillId="7" borderId="13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right" vertical="center"/>
    </xf>
    <xf numFmtId="3" fontId="0" fillId="6" borderId="23" xfId="0" applyNumberFormat="1" applyFill="1" applyBorder="1" applyAlignment="1" applyProtection="1">
      <alignment horizontal="center" vertical="center"/>
      <protection locked="0"/>
    </xf>
    <xf numFmtId="14" fontId="3" fillId="6" borderId="19" xfId="0" applyNumberFormat="1" applyFont="1" applyFill="1" applyBorder="1" applyAlignment="1" applyProtection="1">
      <alignment horizontal="left"/>
      <protection locked="0"/>
    </xf>
    <xf numFmtId="14" fontId="3" fillId="6" borderId="19" xfId="0" applyNumberFormat="1" applyFont="1" applyFill="1" applyBorder="1" applyAlignment="1" applyProtection="1">
      <alignment horizontal="left" wrapText="1"/>
      <protection locked="0"/>
    </xf>
    <xf numFmtId="0" fontId="0" fillId="6" borderId="30" xfId="0" applyFill="1" applyBorder="1" applyAlignment="1" applyProtection="1">
      <alignment wrapText="1"/>
      <protection locked="0"/>
    </xf>
    <xf numFmtId="0" fontId="12" fillId="6" borderId="20" xfId="0" applyFont="1" applyFill="1" applyBorder="1" applyAlignment="1" applyProtection="1">
      <alignment wrapText="1"/>
      <protection locked="0"/>
    </xf>
    <xf numFmtId="14" fontId="2" fillId="0" borderId="0" xfId="0" applyNumberFormat="1" applyFont="1" applyAlignment="1" applyProtection="1">
      <alignment horizontal="center" vertical="center"/>
    </xf>
    <xf numFmtId="0" fontId="6" fillId="7" borderId="12" xfId="0" applyFont="1" applyFill="1" applyBorder="1" applyAlignment="1" applyProtection="1">
      <alignment horizontal="right" vertical="center"/>
    </xf>
    <xf numFmtId="4" fontId="0" fillId="3" borderId="1" xfId="0" applyNumberFormat="1" applyFill="1" applyBorder="1" applyAlignment="1" applyProtection="1">
      <alignment horizontal="right" vertical="center" wrapText="1"/>
      <protection locked="0"/>
    </xf>
    <xf numFmtId="4" fontId="0" fillId="6" borderId="4" xfId="0" applyNumberFormat="1" applyFill="1" applyBorder="1" applyAlignment="1" applyProtection="1">
      <alignment wrapText="1"/>
      <protection locked="0"/>
    </xf>
    <xf numFmtId="4" fontId="12" fillId="6" borderId="20" xfId="0" applyNumberFormat="1" applyFont="1" applyFill="1" applyBorder="1" applyAlignment="1" applyProtection="1">
      <alignment wrapText="1"/>
      <protection locked="0"/>
    </xf>
    <xf numFmtId="4" fontId="0" fillId="6" borderId="35" xfId="0" applyNumberFormat="1" applyFill="1" applyBorder="1" applyAlignment="1" applyProtection="1">
      <alignment wrapText="1"/>
      <protection locked="0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center" wrapText="1"/>
    </xf>
    <xf numFmtId="0" fontId="0" fillId="6" borderId="4" xfId="0" applyFill="1" applyBorder="1" applyAlignment="1" applyProtection="1">
      <alignment vertical="center" wrapText="1"/>
      <protection locked="0"/>
    </xf>
    <xf numFmtId="0" fontId="0" fillId="6" borderId="6" xfId="0" applyFill="1" applyBorder="1" applyAlignment="1" applyProtection="1">
      <alignment vertical="center" wrapText="1"/>
      <protection locked="0"/>
    </xf>
    <xf numFmtId="0" fontId="0" fillId="6" borderId="8" xfId="0" applyFill="1" applyBorder="1" applyAlignment="1" applyProtection="1">
      <alignment vertical="center" wrapText="1"/>
      <protection locked="0"/>
    </xf>
    <xf numFmtId="166" fontId="0" fillId="0" borderId="0" xfId="0" applyNumberFormat="1" applyProtection="1"/>
    <xf numFmtId="0" fontId="0" fillId="6" borderId="16" xfId="0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center" wrapText="1"/>
    </xf>
    <xf numFmtId="166" fontId="0" fillId="6" borderId="13" xfId="0" applyNumberFormat="1" applyFill="1" applyBorder="1" applyAlignment="1" applyProtection="1">
      <alignment wrapText="1"/>
      <protection locked="0"/>
    </xf>
    <xf numFmtId="166" fontId="0" fillId="6" borderId="30" xfId="0" applyNumberFormat="1" applyFill="1" applyBorder="1" applyAlignment="1" applyProtection="1">
      <alignment wrapText="1"/>
      <protection locked="0"/>
    </xf>
    <xf numFmtId="0" fontId="0" fillId="0" borderId="0" xfId="0" applyFont="1" applyProtection="1"/>
    <xf numFmtId="0" fontId="6" fillId="0" borderId="0" xfId="0" applyFont="1" applyProtection="1"/>
    <xf numFmtId="0" fontId="2" fillId="0" borderId="0" xfId="0" applyFont="1" applyAlignment="1" applyProtection="1">
      <alignment wrapText="1"/>
    </xf>
    <xf numFmtId="0" fontId="3" fillId="0" borderId="18" xfId="0" applyFont="1" applyBorder="1" applyProtection="1"/>
    <xf numFmtId="14" fontId="3" fillId="0" borderId="19" xfId="0" applyNumberFormat="1" applyFont="1" applyBorder="1" applyAlignment="1" applyProtection="1">
      <alignment horizontal="left" wrapText="1"/>
    </xf>
    <xf numFmtId="14" fontId="0" fillId="0" borderId="20" xfId="0" applyNumberFormat="1" applyBorder="1" applyAlignment="1" applyProtection="1">
      <alignment horizontal="left"/>
    </xf>
    <xf numFmtId="0" fontId="1" fillId="0" borderId="12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4" fontId="1" fillId="0" borderId="25" xfId="0" applyNumberFormat="1" applyFont="1" applyBorder="1" applyAlignment="1" applyProtection="1">
      <alignment horizontal="center" vertical="center" wrapText="1"/>
    </xf>
    <xf numFmtId="14" fontId="1" fillId="0" borderId="13" xfId="0" applyNumberFormat="1" applyFont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 wrapText="1"/>
    </xf>
    <xf numFmtId="3" fontId="0" fillId="0" borderId="22" xfId="0" applyNumberFormat="1" applyBorder="1" applyAlignment="1" applyProtection="1">
      <alignment horizontal="center" vertical="center"/>
    </xf>
    <xf numFmtId="167" fontId="0" fillId="0" borderId="22" xfId="0" applyNumberFormat="1" applyBorder="1" applyAlignment="1" applyProtection="1">
      <alignment horizontal="center" vertical="center"/>
    </xf>
    <xf numFmtId="0" fontId="0" fillId="0" borderId="10" xfId="0" applyBorder="1" applyAlignment="1" applyProtection="1">
      <alignment vertical="center" wrapText="1"/>
    </xf>
    <xf numFmtId="4" fontId="0" fillId="0" borderId="26" xfId="0" applyNumberFormat="1" applyBorder="1" applyAlignment="1" applyProtection="1">
      <alignment vertical="center" wrapText="1"/>
    </xf>
    <xf numFmtId="4" fontId="0" fillId="0" borderId="10" xfId="0" applyNumberFormat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vertical="center" wrapText="1"/>
    </xf>
    <xf numFmtId="3" fontId="0" fillId="0" borderId="15" xfId="0" applyNumberFormat="1" applyBorder="1" applyAlignment="1" applyProtection="1">
      <alignment horizontal="center" vertical="center"/>
    </xf>
    <xf numFmtId="167" fontId="0" fillId="0" borderId="15" xfId="0" applyNumberFormat="1" applyBorder="1" applyAlignment="1" applyProtection="1">
      <alignment horizontal="center" vertical="center"/>
    </xf>
    <xf numFmtId="0" fontId="0" fillId="0" borderId="15" xfId="0" applyBorder="1" applyAlignment="1" applyProtection="1">
      <alignment vertical="center" wrapText="1"/>
    </xf>
    <xf numFmtId="4" fontId="0" fillId="0" borderId="15" xfId="0" applyNumberFormat="1" applyBorder="1" applyAlignment="1" applyProtection="1">
      <alignment vertical="center" wrapText="1"/>
    </xf>
    <xf numFmtId="4" fontId="0" fillId="0" borderId="15" xfId="0" applyNumberForma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vertical="center" wrapText="1"/>
    </xf>
    <xf numFmtId="3" fontId="0" fillId="0" borderId="1" xfId="0" applyNumberFormat="1" applyBorder="1" applyAlignment="1" applyProtection="1">
      <alignment horizontal="center" vertical="center"/>
    </xf>
    <xf numFmtId="167" fontId="0" fillId="0" borderId="1" xfId="0" applyNumberFormat="1" applyBorder="1" applyAlignment="1" applyProtection="1">
      <alignment horizontal="center" vertical="center"/>
    </xf>
    <xf numFmtId="4" fontId="0" fillId="0" borderId="1" xfId="0" applyNumberFormat="1" applyBorder="1" applyAlignment="1" applyProtection="1">
      <alignment vertical="center" wrapText="1"/>
    </xf>
    <xf numFmtId="4" fontId="0" fillId="0" borderId="1" xfId="0" applyNumberFormat="1" applyBorder="1" applyAlignment="1" applyProtection="1">
      <alignment horizontal="center" vertical="center" wrapText="1"/>
    </xf>
    <xf numFmtId="3" fontId="0" fillId="0" borderId="23" xfId="0" applyNumberFormat="1" applyBorder="1" applyAlignment="1" applyProtection="1">
      <alignment horizontal="center" vertical="center"/>
    </xf>
    <xf numFmtId="167" fontId="0" fillId="0" borderId="23" xfId="0" applyNumberFormat="1" applyBorder="1" applyAlignment="1" applyProtection="1">
      <alignment horizontal="center" vertical="center"/>
    </xf>
    <xf numFmtId="4" fontId="0" fillId="0" borderId="9" xfId="0" applyNumberFormat="1" applyBorder="1" applyAlignment="1" applyProtection="1">
      <alignment vertical="center" wrapText="1"/>
    </xf>
    <xf numFmtId="4" fontId="0" fillId="0" borderId="9" xfId="0" applyNumberFormat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vertical="center" wrapText="1"/>
    </xf>
    <xf numFmtId="166" fontId="0" fillId="0" borderId="21" xfId="0" applyNumberFormat="1" applyBorder="1" applyAlignment="1" applyProtection="1">
      <alignment horizontal="center" vertical="center"/>
    </xf>
    <xf numFmtId="167" fontId="0" fillId="0" borderId="21" xfId="0" applyNumberFormat="1" applyBorder="1" applyAlignment="1" applyProtection="1">
      <alignment horizontal="center" vertical="center"/>
    </xf>
    <xf numFmtId="0" fontId="0" fillId="0" borderId="17" xfId="0" applyBorder="1" applyAlignment="1" applyProtection="1">
      <alignment vertical="top" wrapText="1"/>
    </xf>
    <xf numFmtId="4" fontId="0" fillId="0" borderId="25" xfId="0" applyNumberFormat="1" applyBorder="1" applyAlignment="1" applyProtection="1">
      <alignment vertical="center" wrapText="1"/>
    </xf>
    <xf numFmtId="164" fontId="0" fillId="9" borderId="25" xfId="0" applyNumberFormat="1" applyFill="1" applyBorder="1" applyAlignment="1" applyProtection="1">
      <alignment horizontal="center" vertical="center" wrapText="1"/>
    </xf>
    <xf numFmtId="4" fontId="0" fillId="0" borderId="25" xfId="0" applyNumberFormat="1" applyBorder="1" applyAlignment="1" applyProtection="1">
      <alignment horizontal="center" vertical="center" wrapText="1"/>
    </xf>
    <xf numFmtId="0" fontId="0" fillId="0" borderId="28" xfId="0" applyBorder="1" applyAlignment="1" applyProtection="1">
      <alignment horizontal="right" vertical="center"/>
    </xf>
    <xf numFmtId="169" fontId="0" fillId="0" borderId="29" xfId="0" applyNumberFormat="1" applyBorder="1" applyAlignment="1" applyProtection="1">
      <alignment horizontal="center" vertical="center"/>
    </xf>
    <xf numFmtId="167" fontId="0" fillId="0" borderId="2" xfId="0" applyNumberForma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right" vertical="center" wrapText="1"/>
    </xf>
    <xf numFmtId="166" fontId="7" fillId="0" borderId="20" xfId="0" applyNumberFormat="1" applyFont="1" applyBorder="1" applyAlignment="1" applyProtection="1">
      <alignment vertical="center" wrapText="1"/>
    </xf>
    <xf numFmtId="3" fontId="0" fillId="0" borderId="29" xfId="0" applyNumberFormat="1" applyBorder="1" applyAlignment="1" applyProtection="1">
      <alignment horizontal="center" vertical="center" wrapText="1"/>
    </xf>
    <xf numFmtId="166" fontId="12" fillId="0" borderId="2" xfId="0" applyNumberFormat="1" applyFont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vertical="center"/>
    </xf>
    <xf numFmtId="0" fontId="12" fillId="0" borderId="19" xfId="0" applyFont="1" applyBorder="1" applyAlignment="1" applyProtection="1">
      <alignment horizontal="center"/>
    </xf>
    <xf numFmtId="0" fontId="12" fillId="0" borderId="19" xfId="0" applyFont="1" applyBorder="1" applyAlignment="1" applyProtection="1">
      <alignment horizontal="right" vertical="center" wrapText="1"/>
    </xf>
    <xf numFmtId="0" fontId="0" fillId="8" borderId="0" xfId="0" applyFill="1" applyProtection="1"/>
    <xf numFmtId="0" fontId="0" fillId="8" borderId="0" xfId="0" applyFill="1" applyAlignment="1" applyProtection="1">
      <alignment wrapText="1"/>
    </xf>
    <xf numFmtId="1" fontId="3" fillId="0" borderId="19" xfId="0" applyNumberFormat="1" applyFont="1" applyBorder="1" applyAlignment="1" applyProtection="1">
      <alignment horizontal="left"/>
    </xf>
    <xf numFmtId="0" fontId="0" fillId="0" borderId="31" xfId="0" applyBorder="1" applyAlignment="1" applyProtection="1">
      <alignment vertical="center" wrapText="1"/>
    </xf>
    <xf numFmtId="3" fontId="0" fillId="0" borderId="32" xfId="0" applyNumberFormat="1" applyBorder="1" applyAlignment="1" applyProtection="1">
      <alignment horizontal="center" vertical="center"/>
    </xf>
    <xf numFmtId="0" fontId="0" fillId="0" borderId="33" xfId="0" applyBorder="1" applyAlignment="1" applyProtection="1">
      <alignment vertical="center" wrapText="1"/>
    </xf>
    <xf numFmtId="4" fontId="0" fillId="0" borderId="34" xfId="0" applyNumberFormat="1" applyBorder="1" applyAlignment="1" applyProtection="1">
      <alignment horizontal="center" vertical="center" wrapText="1"/>
    </xf>
    <xf numFmtId="167" fontId="0" fillId="0" borderId="37" xfId="0" applyNumberFormat="1" applyBorder="1" applyAlignment="1" applyProtection="1">
      <alignment horizontal="center" vertical="center"/>
    </xf>
    <xf numFmtId="4" fontId="0" fillId="0" borderId="38" xfId="0" applyNumberFormat="1" applyBorder="1" applyAlignment="1" applyProtection="1">
      <alignment vertical="center" wrapText="1"/>
    </xf>
    <xf numFmtId="4" fontId="0" fillId="0" borderId="38" xfId="0" applyNumberFormat="1" applyBorder="1" applyAlignment="1" applyProtection="1">
      <alignment horizontal="center" vertical="center" wrapText="1"/>
    </xf>
    <xf numFmtId="0" fontId="0" fillId="0" borderId="7" xfId="0" applyBorder="1" applyAlignment="1" applyProtection="1">
      <alignment vertical="center" wrapText="1"/>
    </xf>
    <xf numFmtId="167" fontId="0" fillId="0" borderId="24" xfId="0" applyNumberFormat="1" applyBorder="1" applyAlignment="1" applyProtection="1">
      <alignment horizontal="center" vertical="center"/>
    </xf>
    <xf numFmtId="0" fontId="0" fillId="0" borderId="11" xfId="0" applyBorder="1" applyAlignment="1" applyProtection="1">
      <alignment vertical="center" wrapText="1"/>
    </xf>
    <xf numFmtId="4" fontId="0" fillId="0" borderId="27" xfId="0" applyNumberFormat="1" applyBorder="1" applyAlignment="1" applyProtection="1">
      <alignment vertical="center" wrapText="1"/>
    </xf>
    <xf numFmtId="4" fontId="0" fillId="0" borderId="27" xfId="0" applyNumberFormat="1" applyBorder="1" applyAlignment="1" applyProtection="1">
      <alignment horizontal="center" vertical="center" wrapText="1"/>
    </xf>
    <xf numFmtId="0" fontId="0" fillId="0" borderId="28" xfId="0" applyBorder="1" applyProtection="1"/>
    <xf numFmtId="0" fontId="0" fillId="0" borderId="29" xfId="0" applyBorder="1" applyAlignment="1" applyProtection="1">
      <alignment horizontal="right" vertical="center"/>
    </xf>
    <xf numFmtId="166" fontId="7" fillId="0" borderId="29" xfId="0" applyNumberFormat="1" applyFont="1" applyBorder="1" applyAlignment="1" applyProtection="1">
      <alignment vertical="center" wrapText="1"/>
    </xf>
    <xf numFmtId="166" fontId="12" fillId="0" borderId="36" xfId="0" applyNumberFormat="1" applyFont="1" applyBorder="1" applyAlignment="1" applyProtection="1">
      <alignment horizontal="center" vertical="center" wrapText="1"/>
    </xf>
    <xf numFmtId="167" fontId="0" fillId="0" borderId="32" xfId="0" applyNumberFormat="1" applyBorder="1" applyAlignment="1" applyProtection="1">
      <alignment horizontal="center" vertical="center"/>
    </xf>
    <xf numFmtId="3" fontId="0" fillId="0" borderId="11" xfId="0" applyNumberFormat="1" applyBorder="1" applyAlignment="1" applyProtection="1">
      <alignment horizontal="center" vertical="center"/>
    </xf>
    <xf numFmtId="167" fontId="0" fillId="0" borderId="36" xfId="0" applyNumberFormat="1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/>
    </xf>
    <xf numFmtId="4" fontId="0" fillId="0" borderId="29" xfId="0" applyNumberFormat="1" applyBorder="1" applyAlignment="1" applyProtection="1">
      <alignment horizontal="center" vertical="center"/>
    </xf>
    <xf numFmtId="4" fontId="0" fillId="0" borderId="23" xfId="0" applyNumberFormat="1" applyFill="1" applyBorder="1" applyAlignment="1" applyProtection="1">
      <alignment horizontal="center" vertical="center"/>
    </xf>
    <xf numFmtId="3" fontId="0" fillId="6" borderId="1" xfId="0" applyNumberFormat="1" applyFill="1" applyBorder="1" applyAlignment="1" applyProtection="1">
      <alignment horizontal="center" vertical="center" wrapText="1"/>
      <protection locked="0"/>
    </xf>
    <xf numFmtId="3" fontId="0" fillId="6" borderId="15" xfId="0" applyNumberFormat="1" applyFill="1" applyBorder="1" applyAlignment="1" applyProtection="1">
      <alignment horizontal="center" vertical="center" wrapText="1"/>
      <protection locked="0"/>
    </xf>
    <xf numFmtId="3" fontId="0" fillId="6" borderId="11" xfId="0" applyNumberFormat="1" applyFill="1" applyBorder="1" applyAlignment="1" applyProtection="1">
      <alignment horizontal="center" vertical="center" wrapText="1"/>
      <protection locked="0"/>
    </xf>
    <xf numFmtId="3" fontId="0" fillId="6" borderId="9" xfId="0" applyNumberFormat="1" applyFill="1" applyBorder="1" applyAlignment="1" applyProtection="1">
      <alignment horizontal="center" vertical="center" wrapText="1"/>
      <protection locked="0"/>
    </xf>
    <xf numFmtId="3" fontId="0" fillId="6" borderId="26" xfId="0" applyNumberFormat="1" applyFill="1" applyBorder="1" applyAlignment="1" applyProtection="1">
      <alignment horizontal="center" vertical="center" wrapText="1"/>
      <protection locked="0"/>
    </xf>
    <xf numFmtId="3" fontId="0" fillId="6" borderId="38" xfId="0" applyNumberFormat="1" applyFill="1" applyBorder="1" applyAlignment="1" applyProtection="1">
      <alignment horizontal="center" vertical="center" wrapText="1"/>
      <protection locked="0"/>
    </xf>
    <xf numFmtId="3" fontId="0" fillId="6" borderId="27" xfId="0" applyNumberFormat="1" applyFill="1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vertical="center" wrapText="1"/>
    </xf>
    <xf numFmtId="3" fontId="0" fillId="0" borderId="40" xfId="0" applyNumberFormat="1" applyBorder="1" applyAlignment="1" applyProtection="1">
      <alignment horizontal="center" vertical="center"/>
    </xf>
    <xf numFmtId="167" fontId="0" fillId="0" borderId="40" xfId="0" applyNumberFormat="1" applyBorder="1" applyAlignment="1" applyProtection="1">
      <alignment horizontal="center" vertical="center"/>
    </xf>
    <xf numFmtId="0" fontId="0" fillId="0" borderId="41" xfId="0" applyBorder="1" applyAlignment="1" applyProtection="1">
      <alignment vertical="center" wrapText="1"/>
    </xf>
    <xf numFmtId="4" fontId="0" fillId="0" borderId="42" xfId="0" applyNumberFormat="1" applyBorder="1" applyAlignment="1" applyProtection="1">
      <alignment vertical="center" wrapText="1"/>
    </xf>
    <xf numFmtId="3" fontId="0" fillId="6" borderId="42" xfId="0" applyNumberFormat="1" applyFill="1" applyBorder="1" applyAlignment="1" applyProtection="1">
      <alignment horizontal="center" vertical="center" wrapText="1"/>
      <protection locked="0"/>
    </xf>
    <xf numFmtId="4" fontId="0" fillId="0" borderId="42" xfId="0" applyNumberFormat="1" applyBorder="1" applyAlignment="1" applyProtection="1">
      <alignment horizontal="center" vertical="center" wrapText="1"/>
    </xf>
    <xf numFmtId="0" fontId="0" fillId="6" borderId="43" xfId="0" applyFill="1" applyBorder="1" applyAlignment="1" applyProtection="1">
      <alignment wrapText="1"/>
      <protection locked="0"/>
    </xf>
    <xf numFmtId="0" fontId="0" fillId="0" borderId="12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7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4" fontId="7" fillId="5" borderId="0" xfId="0" applyNumberFormat="1" applyFont="1" applyFill="1" applyAlignment="1" applyProtection="1">
      <alignment vertical="center"/>
    </xf>
    <xf numFmtId="0" fontId="8" fillId="0" borderId="0" xfId="0" applyFont="1" applyAlignment="1" applyProtection="1">
      <alignment vertical="center"/>
    </xf>
  </cellXfs>
  <cellStyles count="2">
    <cellStyle name="Normální" xfId="0" builtinId="0"/>
    <cellStyle name="Procenta" xfId="1" builtinId="5"/>
  </cellStyles>
  <dxfs count="6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1" tint="0.499984740745262"/>
        </patternFill>
      </fill>
    </dxf>
    <dxf>
      <font>
        <b/>
        <i val="0"/>
      </font>
    </dxf>
    <dxf>
      <font>
        <b/>
        <i val="0"/>
      </font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CCFF"/>
        </patternFill>
      </fill>
    </dxf>
    <dxf>
      <font>
        <b/>
        <i val="0"/>
      </font>
    </dxf>
    <dxf>
      <font>
        <b/>
        <i val="0"/>
      </font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CCFF"/>
        </patternFill>
      </fill>
    </dxf>
    <dxf>
      <font>
        <b/>
        <i val="0"/>
      </font>
    </dxf>
    <dxf>
      <font>
        <b/>
        <i val="0"/>
      </font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CCFF"/>
        </patternFill>
      </fill>
    </dxf>
    <dxf>
      <font>
        <b/>
        <i val="0"/>
      </font>
    </dxf>
    <dxf>
      <font>
        <b/>
        <i val="0"/>
      </font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CCFF"/>
        </patternFill>
      </fill>
    </dxf>
    <dxf>
      <font>
        <b/>
        <i val="0"/>
      </font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CCFF"/>
        </patternFill>
      </fill>
    </dxf>
    <dxf>
      <font>
        <b/>
        <i val="0"/>
      </font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CCFF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J18"/>
  <sheetViews>
    <sheetView tabSelected="1" workbookViewId="0">
      <selection activeCell="B5" sqref="B5"/>
    </sheetView>
  </sheetViews>
  <sheetFormatPr defaultColWidth="9.140625" defaultRowHeight="15" x14ac:dyDescent="0.25"/>
  <cols>
    <col min="1" max="1" width="52.85546875" style="4" bestFit="1" customWidth="1"/>
    <col min="2" max="2" width="57" style="44" customWidth="1"/>
    <col min="3" max="3" width="14.5703125" style="4" hidden="1" customWidth="1"/>
    <col min="4" max="7" width="15" style="4" hidden="1" customWidth="1"/>
    <col min="8" max="8" width="9.140625" style="4" hidden="1" customWidth="1"/>
    <col min="9" max="9" width="9.140625" style="4"/>
    <col min="10" max="10" width="12.28515625" style="4" bestFit="1" customWidth="1"/>
    <col min="11" max="16384" width="9.140625" style="4"/>
  </cols>
  <sheetData>
    <row r="1" spans="1:10" ht="48" customHeight="1" x14ac:dyDescent="0.25">
      <c r="A1" s="94" t="s">
        <v>53</v>
      </c>
      <c r="B1" s="41"/>
      <c r="C1" s="15"/>
    </row>
    <row r="2" spans="1:10" ht="31.5" customHeight="1" x14ac:dyDescent="0.25">
      <c r="A2" s="189" t="s">
        <v>115</v>
      </c>
      <c r="B2" s="190"/>
      <c r="C2" s="15"/>
      <c r="D2" s="42"/>
      <c r="E2" s="42"/>
    </row>
    <row r="3" spans="1:10" ht="31.5" customHeight="1" x14ac:dyDescent="0.25">
      <c r="A3" s="74">
        <v>46211</v>
      </c>
      <c r="B3" s="74">
        <v>47671</v>
      </c>
      <c r="C3" s="15"/>
      <c r="D3" s="42"/>
      <c r="E3" s="42"/>
    </row>
    <row r="4" spans="1:10" ht="15.75" thickBot="1" x14ac:dyDescent="0.3">
      <c r="A4" s="43" t="s">
        <v>81</v>
      </c>
    </row>
    <row r="5" spans="1:10" ht="36" customHeight="1" x14ac:dyDescent="0.25">
      <c r="A5" s="66" t="s">
        <v>82</v>
      </c>
      <c r="B5" s="89"/>
    </row>
    <row r="6" spans="1:10" ht="36" customHeight="1" x14ac:dyDescent="0.25">
      <c r="A6" s="67" t="s">
        <v>78</v>
      </c>
      <c r="B6" s="90"/>
    </row>
    <row r="7" spans="1:10" ht="36" customHeight="1" x14ac:dyDescent="0.25">
      <c r="A7" s="67" t="s">
        <v>79</v>
      </c>
      <c r="B7" s="90"/>
    </row>
    <row r="8" spans="1:10" ht="36" customHeight="1" thickBot="1" x14ac:dyDescent="0.3">
      <c r="A8" s="68" t="s">
        <v>80</v>
      </c>
      <c r="B8" s="91"/>
    </row>
    <row r="9" spans="1:10" ht="15.75" thickBot="1" x14ac:dyDescent="0.3">
      <c r="D9" s="186" t="s">
        <v>87</v>
      </c>
      <c r="E9" s="187"/>
      <c r="F9" s="187"/>
      <c r="G9" s="188"/>
    </row>
    <row r="10" spans="1:10" ht="15.75" thickBot="1" x14ac:dyDescent="0.3">
      <c r="A10" s="45"/>
      <c r="D10" s="46" t="s">
        <v>83</v>
      </c>
      <c r="E10" s="47" t="s">
        <v>84</v>
      </c>
      <c r="F10" s="47" t="s">
        <v>85</v>
      </c>
      <c r="G10" s="48" t="s">
        <v>86</v>
      </c>
    </row>
    <row r="11" spans="1:10" ht="15.75" thickBot="1" x14ac:dyDescent="0.3">
      <c r="A11" s="49" t="s">
        <v>113</v>
      </c>
      <c r="B11" s="36"/>
      <c r="C11" s="53">
        <f>IF(B11&lt;&gt;0,B12/B11,0)</f>
        <v>0</v>
      </c>
      <c r="D11" s="50">
        <v>0</v>
      </c>
      <c r="E11" s="51">
        <v>0</v>
      </c>
      <c r="F11" s="51">
        <v>0</v>
      </c>
      <c r="G11" s="52">
        <v>0</v>
      </c>
    </row>
    <row r="12" spans="1:10" ht="15.75" thickBot="1" x14ac:dyDescent="0.3">
      <c r="A12" s="49" t="s">
        <v>114</v>
      </c>
      <c r="B12" s="36"/>
      <c r="C12" s="53">
        <f>IF(B11&lt;&gt;0,(5*B11+2*B12)/7/B11,0)</f>
        <v>0</v>
      </c>
      <c r="D12" s="54">
        <v>1</v>
      </c>
      <c r="E12" s="55">
        <f>1+E11</f>
        <v>1</v>
      </c>
      <c r="F12" s="55">
        <f t="shared" ref="F12:G12" si="0">1+F11</f>
        <v>1</v>
      </c>
      <c r="G12" s="56">
        <f t="shared" si="0"/>
        <v>1</v>
      </c>
      <c r="H12" s="57"/>
    </row>
    <row r="13" spans="1:10" ht="15.75" thickBot="1" x14ac:dyDescent="0.3">
      <c r="D13" s="58">
        <v>1</v>
      </c>
      <c r="E13" s="59">
        <f>+D13*E12</f>
        <v>1</v>
      </c>
      <c r="F13" s="59">
        <f t="shared" ref="F13:G13" si="1">+E13*F12</f>
        <v>1</v>
      </c>
      <c r="G13" s="60">
        <f t="shared" si="1"/>
        <v>1</v>
      </c>
      <c r="H13" s="57">
        <f>SUM(D13:G13)/4</f>
        <v>1</v>
      </c>
    </row>
    <row r="14" spans="1:10" ht="15.75" thickBot="1" x14ac:dyDescent="0.3">
      <c r="D14" s="61"/>
      <c r="I14" s="62"/>
    </row>
    <row r="15" spans="1:10" ht="48.75" customHeight="1" thickBot="1" x14ac:dyDescent="0.3">
      <c r="A15" s="75" t="s">
        <v>181</v>
      </c>
      <c r="B15" s="65">
        <f>'Rozpis úklidu'!B68:D68</f>
        <v>0</v>
      </c>
      <c r="J15" s="92"/>
    </row>
    <row r="18" spans="2:2" x14ac:dyDescent="0.25">
      <c r="B18" s="63"/>
    </row>
  </sheetData>
  <sheetProtection algorithmName="SHA-512" hashValue="n9EaFrlALJH7ZmQ5NDlLiXVdSmvCxQhe0m/onKWqChHUYjR8ja/fndS6AzhDJAHGP7nuTlhT8ZcqaU+tQgJ3SQ==" saltValue="FEpkCczgB+ba84sHqyseXA==" spinCount="100000" sheet="1" selectLockedCells="1"/>
  <mergeCells count="2">
    <mergeCell ref="D9:G9"/>
    <mergeCell ref="A2:B2"/>
  </mergeCells>
  <pageMargins left="0.23622047244094502" right="0.23622047244094502" top="0.35433070866141703" bottom="0.35433070866141703" header="0.31496062992126" footer="0.31496062992126"/>
  <pageSetup paperSize="9" orientation="landscape" cellComments="atEn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S139"/>
  <sheetViews>
    <sheetView zoomScale="85" zoomScaleNormal="85" workbookViewId="0">
      <pane xSplit="7" ySplit="3" topLeftCell="H4" activePane="bottomRight" state="frozen"/>
      <selection pane="topRight" activeCell="H1" sqref="H1"/>
      <selection pane="bottomLeft" activeCell="A3" sqref="A3"/>
      <selection pane="bottomRight" activeCell="N4" sqref="N4"/>
    </sheetView>
  </sheetViews>
  <sheetFormatPr defaultColWidth="9.140625" defaultRowHeight="15" x14ac:dyDescent="0.25"/>
  <cols>
    <col min="1" max="1" width="33.7109375" style="2" customWidth="1"/>
    <col min="2" max="2" width="10.85546875" style="2" customWidth="1"/>
    <col min="3" max="3" width="8.85546875" style="2" customWidth="1"/>
    <col min="4" max="4" width="10.28515625" style="3" customWidth="1"/>
    <col min="5" max="5" width="8.85546875" style="2" customWidth="1"/>
    <col min="6" max="6" width="9.7109375" style="3" bestFit="1" customWidth="1"/>
    <col min="7" max="7" width="7.5703125" style="3" customWidth="1"/>
    <col min="8" max="8" width="11.42578125" style="2" bestFit="1" customWidth="1"/>
    <col min="9" max="9" width="10.140625" style="2" customWidth="1"/>
    <col min="10" max="10" width="11.85546875" style="3" bestFit="1" customWidth="1"/>
    <col min="11" max="11" width="10.7109375" style="3" customWidth="1"/>
    <col min="12" max="12" width="55.28515625" style="2" customWidth="1"/>
    <col min="13" max="18" width="15.42578125" style="2" customWidth="1"/>
    <col min="19" max="19" width="41.7109375" style="2" customWidth="1"/>
    <col min="20" max="16384" width="9.140625" style="4"/>
  </cols>
  <sheetData>
    <row r="1" spans="1:19" ht="18.75" x14ac:dyDescent="0.25">
      <c r="A1" s="1" t="str">
        <f>'Základní údaje'!A1</f>
        <v>kolej: Rooseveltova, VŠE</v>
      </c>
      <c r="B1" s="23" t="str">
        <f>'Základní údaje'!A2</f>
        <v>OBDOBÍ:</v>
      </c>
      <c r="C1" s="24">
        <f>'Základní údaje'!A3</f>
        <v>46211</v>
      </c>
      <c r="D1" s="25">
        <f>'Základní údaje'!B3</f>
        <v>47671</v>
      </c>
    </row>
    <row r="2" spans="1:19" ht="18.75" x14ac:dyDescent="0.25">
      <c r="A2" s="1" t="s">
        <v>62</v>
      </c>
      <c r="B2" s="37">
        <f>'Základní údaje'!B11</f>
        <v>0</v>
      </c>
      <c r="C2" s="27" t="s">
        <v>65</v>
      </c>
      <c r="D2" s="35"/>
      <c r="E2" s="3"/>
      <c r="H2" s="3"/>
      <c r="I2" s="3"/>
      <c r="O2" s="28"/>
    </row>
    <row r="3" spans="1:19" s="6" customFormat="1" ht="90" x14ac:dyDescent="0.25">
      <c r="A3" s="5" t="s">
        <v>52</v>
      </c>
      <c r="B3" s="5" t="s">
        <v>2</v>
      </c>
      <c r="C3" s="5" t="s">
        <v>54</v>
      </c>
      <c r="D3" s="5" t="s">
        <v>55</v>
      </c>
      <c r="E3" s="5" t="s">
        <v>27</v>
      </c>
      <c r="F3" s="5" t="s">
        <v>57</v>
      </c>
      <c r="G3" s="5" t="s">
        <v>56</v>
      </c>
      <c r="H3" s="5" t="s">
        <v>58</v>
      </c>
      <c r="I3" s="5" t="s">
        <v>59</v>
      </c>
      <c r="J3" s="5" t="s">
        <v>60</v>
      </c>
      <c r="K3" s="5" t="s">
        <v>61</v>
      </c>
      <c r="L3" s="5" t="s">
        <v>1</v>
      </c>
      <c r="M3" s="5" t="s">
        <v>64</v>
      </c>
      <c r="N3" s="5" t="s">
        <v>67</v>
      </c>
      <c r="O3" s="5" t="s">
        <v>66</v>
      </c>
      <c r="P3" s="31" t="s">
        <v>63</v>
      </c>
      <c r="Q3" s="40" t="s">
        <v>88</v>
      </c>
      <c r="R3" s="40" t="s">
        <v>76</v>
      </c>
      <c r="S3" s="5" t="s">
        <v>3</v>
      </c>
    </row>
    <row r="4" spans="1:19" ht="31.15" customHeight="1" x14ac:dyDescent="0.25">
      <c r="A4" s="7" t="s">
        <v>32</v>
      </c>
      <c r="B4" s="8"/>
      <c r="C4" s="8">
        <v>1</v>
      </c>
      <c r="D4" s="9">
        <v>1</v>
      </c>
      <c r="E4" s="13">
        <f t="shared" ref="E4:E40" si="0">B4*D4+C4*D4</f>
        <v>1</v>
      </c>
      <c r="F4" s="10" t="s">
        <v>4</v>
      </c>
      <c r="G4" s="10">
        <v>1</v>
      </c>
      <c r="H4" s="7"/>
      <c r="I4" s="7"/>
      <c r="J4" s="10">
        <v>1</v>
      </c>
      <c r="K4" s="10">
        <v>0</v>
      </c>
      <c r="L4" s="7" t="s">
        <v>182</v>
      </c>
      <c r="M4" s="38">
        <v>10</v>
      </c>
      <c r="N4" s="76"/>
      <c r="O4" s="39">
        <f t="shared" ref="O4:O41" si="1">IF(N4=0,M4*D4/60,N4*D4/60)</f>
        <v>0.16666666666666666</v>
      </c>
      <c r="P4" s="30">
        <f t="shared" ref="P4:P41" si="2">ROUND(IF(N4=0,M4/60*$B$2,N4/60*$B$2),0)</f>
        <v>0</v>
      </c>
      <c r="Q4" s="39">
        <f>P4*D4</f>
        <v>0</v>
      </c>
      <c r="R4" s="39">
        <f>IF(F4="denně",Q4*G4*$B$64,IF(F4="týdně",Q4*G4*$B$65,IF(F4="měsíčně",Q4*G4*$B$66,IF(F4="čtvrtletně",Q4*G4*4*$B$67,IF(F4="ročně",Q4*G4*$B$67,G4*Q4*$B$67)))))*'Základní údaje'!$H$13*IF(K25=1,'Základní údaje'!$C$12,1)</f>
        <v>0</v>
      </c>
      <c r="S4" s="64"/>
    </row>
    <row r="5" spans="1:19" ht="31.15" customHeight="1" x14ac:dyDescent="0.25">
      <c r="A5" s="7" t="s">
        <v>33</v>
      </c>
      <c r="B5" s="8"/>
      <c r="C5" s="8">
        <v>1</v>
      </c>
      <c r="D5" s="9">
        <v>1</v>
      </c>
      <c r="E5" s="13">
        <f t="shared" si="0"/>
        <v>1</v>
      </c>
      <c r="F5" s="10" t="s">
        <v>4</v>
      </c>
      <c r="G5" s="10">
        <v>1</v>
      </c>
      <c r="H5" s="7"/>
      <c r="I5" s="7"/>
      <c r="J5" s="10">
        <v>1</v>
      </c>
      <c r="K5" s="10">
        <v>0</v>
      </c>
      <c r="L5" s="7" t="s">
        <v>182</v>
      </c>
      <c r="M5" s="38">
        <v>8</v>
      </c>
      <c r="N5" s="76"/>
      <c r="O5" s="39">
        <f t="shared" si="1"/>
        <v>0.13333333333333333</v>
      </c>
      <c r="P5" s="30">
        <f t="shared" si="2"/>
        <v>0</v>
      </c>
      <c r="Q5" s="39">
        <f t="shared" ref="Q5:Q41" si="3">P5*D5</f>
        <v>0</v>
      </c>
      <c r="R5" s="39">
        <f>IF(F5="denně",Q5*G5*$B$64,IF(F5="týdně",Q5*G5*$B$65,IF(F5="měsíčně",Q5*G5*$B$66,IF(F5="čtvrtletně",Q5*G5*4*$B$67,IF(F5="ročně",Q5*G5*$B$67,G5*Q5*$B$67)))))*'Základní údaje'!$H$13*IF(K26=1,'Základní údaje'!$C$12,1)</f>
        <v>0</v>
      </c>
      <c r="S5" s="64"/>
    </row>
    <row r="6" spans="1:19" ht="31.15" customHeight="1" x14ac:dyDescent="0.25">
      <c r="A6" s="7" t="s">
        <v>211</v>
      </c>
      <c r="B6" s="8">
        <v>107</v>
      </c>
      <c r="C6" s="8"/>
      <c r="D6" s="9">
        <v>5</v>
      </c>
      <c r="E6" s="13">
        <f t="shared" si="0"/>
        <v>535</v>
      </c>
      <c r="F6" s="10" t="s">
        <v>4</v>
      </c>
      <c r="G6" s="10">
        <v>1</v>
      </c>
      <c r="H6" s="7"/>
      <c r="I6" s="7"/>
      <c r="J6" s="10">
        <v>1</v>
      </c>
      <c r="K6" s="10">
        <v>0</v>
      </c>
      <c r="L6" s="7" t="s">
        <v>183</v>
      </c>
      <c r="M6" s="38">
        <v>18</v>
      </c>
      <c r="N6" s="76"/>
      <c r="O6" s="39">
        <f t="shared" si="1"/>
        <v>1.5</v>
      </c>
      <c r="P6" s="30">
        <f t="shared" si="2"/>
        <v>0</v>
      </c>
      <c r="Q6" s="39">
        <f t="shared" si="3"/>
        <v>0</v>
      </c>
      <c r="R6" s="39">
        <f>IF(F6="denně",Q6*G6*$B$64,IF(F6="týdně",Q6*G6*$B$65,IF(F6="měsíčně",Q6*G6*$B$66,IF(F6="čtvrtletně",Q6*G6*4*$B$67,IF(F6="ročně",Q6*G6*$B$67,G6*Q6*$B$67)))))*'Základní údaje'!$H$13*IF(K27=1,'Základní údaje'!$C$12,1)</f>
        <v>0</v>
      </c>
      <c r="S6" s="64"/>
    </row>
    <row r="7" spans="1:19" ht="31.15" customHeight="1" x14ac:dyDescent="0.25">
      <c r="A7" s="7" t="s">
        <v>212</v>
      </c>
      <c r="B7" s="8">
        <v>97</v>
      </c>
      <c r="C7" s="8"/>
      <c r="D7" s="9">
        <v>1</v>
      </c>
      <c r="E7" s="13">
        <f t="shared" si="0"/>
        <v>97</v>
      </c>
      <c r="F7" s="10" t="s">
        <v>4</v>
      </c>
      <c r="G7" s="10">
        <v>1</v>
      </c>
      <c r="H7" s="7"/>
      <c r="I7" s="7"/>
      <c r="J7" s="10">
        <v>1</v>
      </c>
      <c r="K7" s="10">
        <v>0</v>
      </c>
      <c r="L7" s="7" t="s">
        <v>183</v>
      </c>
      <c r="M7" s="38">
        <v>16</v>
      </c>
      <c r="N7" s="76"/>
      <c r="O7" s="39">
        <f t="shared" si="1"/>
        <v>0.26666666666666666</v>
      </c>
      <c r="P7" s="30">
        <f t="shared" si="2"/>
        <v>0</v>
      </c>
      <c r="Q7" s="39">
        <f t="shared" si="3"/>
        <v>0</v>
      </c>
      <c r="R7" s="39">
        <f>IF(F7="denně",Q7*G7*$B$64,IF(F7="týdně",Q7*G7*$B$65,IF(F7="měsíčně",Q7*G7*$B$66,IF(F7="čtvrtletně",Q7*G7*4*$B$67,IF(F7="ročně",Q7*G7*$B$67,G7*Q7*$B$67)))))*'Základní údaje'!$H$13*IF(K28=1,'Základní údaje'!$C$12,1)</f>
        <v>0</v>
      </c>
      <c r="S7" s="64"/>
    </row>
    <row r="8" spans="1:19" ht="31.15" customHeight="1" x14ac:dyDescent="0.25">
      <c r="A8" s="7" t="s">
        <v>213</v>
      </c>
      <c r="B8" s="8">
        <v>156</v>
      </c>
      <c r="C8" s="8"/>
      <c r="D8" s="9">
        <v>1</v>
      </c>
      <c r="E8" s="13">
        <f t="shared" si="0"/>
        <v>156</v>
      </c>
      <c r="F8" s="10" t="s">
        <v>4</v>
      </c>
      <c r="G8" s="10">
        <v>1</v>
      </c>
      <c r="H8" s="7"/>
      <c r="I8" s="7"/>
      <c r="J8" s="10">
        <v>1</v>
      </c>
      <c r="K8" s="10">
        <v>0</v>
      </c>
      <c r="L8" s="7" t="s">
        <v>183</v>
      </c>
      <c r="M8" s="38">
        <v>26</v>
      </c>
      <c r="N8" s="76"/>
      <c r="O8" s="39">
        <f t="shared" si="1"/>
        <v>0.43333333333333335</v>
      </c>
      <c r="P8" s="30">
        <f t="shared" si="2"/>
        <v>0</v>
      </c>
      <c r="Q8" s="39">
        <f t="shared" si="3"/>
        <v>0</v>
      </c>
      <c r="R8" s="39">
        <f>IF(F8="denně",Q8*G8*$B$64,IF(F8="týdně",Q8*G8*$B$65,IF(F8="měsíčně",Q8*G8*$B$66,IF(F8="čtvrtletně",Q8*G8*4*$B$67,IF(F8="ročně",Q8*G8*$B$67,G8*Q8*$B$67)))))*'Základní údaje'!$H$13*IF(K30=1,'Základní údaje'!$C$12,1)</f>
        <v>0</v>
      </c>
      <c r="S8" s="64"/>
    </row>
    <row r="9" spans="1:19" ht="31.15" customHeight="1" x14ac:dyDescent="0.25">
      <c r="A9" s="7" t="s">
        <v>34</v>
      </c>
      <c r="B9" s="8">
        <v>40</v>
      </c>
      <c r="C9" s="8"/>
      <c r="D9" s="9">
        <v>7</v>
      </c>
      <c r="E9" s="13">
        <f t="shared" si="0"/>
        <v>280</v>
      </c>
      <c r="F9" s="10" t="s">
        <v>4</v>
      </c>
      <c r="G9" s="10">
        <v>1</v>
      </c>
      <c r="H9" s="7"/>
      <c r="I9" s="7"/>
      <c r="J9" s="10">
        <v>1</v>
      </c>
      <c r="K9" s="10">
        <v>0</v>
      </c>
      <c r="L9" s="7" t="s">
        <v>183</v>
      </c>
      <c r="M9" s="38">
        <v>10</v>
      </c>
      <c r="N9" s="76"/>
      <c r="O9" s="39">
        <f t="shared" si="1"/>
        <v>1.1666666666666667</v>
      </c>
      <c r="P9" s="30">
        <f t="shared" si="2"/>
        <v>0</v>
      </c>
      <c r="Q9" s="39">
        <f t="shared" si="3"/>
        <v>0</v>
      </c>
      <c r="R9" s="39">
        <f>IF(F9="denně",Q9*G9*$B$64,IF(F9="týdně",Q9*G9*$B$65,IF(F9="měsíčně",Q9*G9*$B$66,IF(F9="čtvrtletně",Q9*G9*4*$B$67,IF(F9="ročně",Q9*G9*$B$67,G9*Q9*$B$67)))))*'Základní údaje'!$H$13*IF(K31=1,'Základní údaje'!$C$12,1)</f>
        <v>0</v>
      </c>
      <c r="S9" s="64"/>
    </row>
    <row r="10" spans="1:19" s="12" customFormat="1" ht="31.15" customHeight="1" x14ac:dyDescent="0.25">
      <c r="A10" s="7" t="s">
        <v>36</v>
      </c>
      <c r="B10" s="8">
        <v>49</v>
      </c>
      <c r="C10" s="8"/>
      <c r="D10" s="9">
        <v>1</v>
      </c>
      <c r="E10" s="13">
        <f t="shared" si="0"/>
        <v>49</v>
      </c>
      <c r="F10" s="10" t="s">
        <v>4</v>
      </c>
      <c r="G10" s="10">
        <v>1</v>
      </c>
      <c r="H10" s="7"/>
      <c r="I10" s="7"/>
      <c r="J10" s="10">
        <v>1</v>
      </c>
      <c r="K10" s="10">
        <v>0</v>
      </c>
      <c r="L10" s="7" t="s">
        <v>184</v>
      </c>
      <c r="M10" s="38">
        <v>12</v>
      </c>
      <c r="N10" s="76"/>
      <c r="O10" s="39">
        <f t="shared" si="1"/>
        <v>0.2</v>
      </c>
      <c r="P10" s="30">
        <f t="shared" si="2"/>
        <v>0</v>
      </c>
      <c r="Q10" s="39">
        <f t="shared" si="3"/>
        <v>0</v>
      </c>
      <c r="R10" s="39">
        <f>IF(F10="denně",Q10*G10*$B$64,IF(F10="týdně",Q10*G10*$B$65,IF(F10="měsíčně",Q10*G10*$B$66,IF(F10="čtvrtletně",Q10*G10*4*$B$67,IF(F10="ročně",Q10*G10*$B$67,G10*Q10*$B$67)))))*'Základní údaje'!$H$13*IF(K36=1,'Základní údaje'!$C$12,1)</f>
        <v>0</v>
      </c>
      <c r="S10" s="64"/>
    </row>
    <row r="11" spans="1:19" ht="31.15" customHeight="1" x14ac:dyDescent="0.25">
      <c r="A11" s="7" t="s">
        <v>37</v>
      </c>
      <c r="B11" s="8">
        <v>40</v>
      </c>
      <c r="C11" s="8"/>
      <c r="D11" s="9">
        <v>1</v>
      </c>
      <c r="E11" s="13">
        <f t="shared" si="0"/>
        <v>40</v>
      </c>
      <c r="F11" s="10" t="s">
        <v>4</v>
      </c>
      <c r="G11" s="10">
        <v>1</v>
      </c>
      <c r="H11" s="7"/>
      <c r="I11" s="7"/>
      <c r="J11" s="10">
        <v>1</v>
      </c>
      <c r="K11" s="10">
        <v>0</v>
      </c>
      <c r="L11" s="7" t="s">
        <v>184</v>
      </c>
      <c r="M11" s="38">
        <v>20</v>
      </c>
      <c r="N11" s="76"/>
      <c r="O11" s="39">
        <f t="shared" si="1"/>
        <v>0.33333333333333331</v>
      </c>
      <c r="P11" s="30">
        <f t="shared" si="2"/>
        <v>0</v>
      </c>
      <c r="Q11" s="39">
        <f t="shared" si="3"/>
        <v>0</v>
      </c>
      <c r="R11" s="39">
        <f>IF(F11="denně",Q11*G11*$B$64,IF(F11="týdně",Q11*G11*$B$65,IF(F11="měsíčně",Q11*G11*$B$66,IF(F11="čtvrtletně",Q11*G11*4*$B$67,IF(F11="ročně",Q11*G11*$B$67,G11*Q11*$B$67)))))*'Základní údaje'!$H$13*IF(K37=1,'Základní údaje'!$C$12,1)</f>
        <v>0</v>
      </c>
      <c r="S11" s="64"/>
    </row>
    <row r="12" spans="1:19" ht="31.15" customHeight="1" x14ac:dyDescent="0.25">
      <c r="A12" s="7" t="s">
        <v>38</v>
      </c>
      <c r="B12" s="8">
        <v>27</v>
      </c>
      <c r="C12" s="8"/>
      <c r="D12" s="9">
        <v>1</v>
      </c>
      <c r="E12" s="13">
        <f t="shared" si="0"/>
        <v>27</v>
      </c>
      <c r="F12" s="10" t="s">
        <v>4</v>
      </c>
      <c r="G12" s="10">
        <v>1</v>
      </c>
      <c r="H12" s="7"/>
      <c r="I12" s="7"/>
      <c r="J12" s="10">
        <v>1</v>
      </c>
      <c r="K12" s="10">
        <v>0</v>
      </c>
      <c r="L12" s="7" t="s">
        <v>184</v>
      </c>
      <c r="M12" s="38">
        <v>10</v>
      </c>
      <c r="N12" s="76"/>
      <c r="O12" s="39">
        <f t="shared" si="1"/>
        <v>0.16666666666666666</v>
      </c>
      <c r="P12" s="30">
        <f t="shared" si="2"/>
        <v>0</v>
      </c>
      <c r="Q12" s="39">
        <f t="shared" si="3"/>
        <v>0</v>
      </c>
      <c r="R12" s="39">
        <f>IF(F12="denně",Q12*G12*$B$64,IF(F12="týdně",Q12*G12*$B$65,IF(F12="měsíčně",Q12*G12*$B$66,IF(F12="čtvrtletně",Q12*G12*4*$B$67,IF(F12="ročně",Q12*G12*$B$67,G12*Q12*$B$67)))))*'Základní údaje'!$H$13*IF(K38=1,'Základní údaje'!$C$12,1)</f>
        <v>0</v>
      </c>
      <c r="S12" s="64"/>
    </row>
    <row r="13" spans="1:19" ht="31.15" customHeight="1" x14ac:dyDescent="0.25">
      <c r="A13" s="7" t="s">
        <v>214</v>
      </c>
      <c r="B13" s="8">
        <v>15</v>
      </c>
      <c r="C13" s="8"/>
      <c r="D13" s="9">
        <v>1</v>
      </c>
      <c r="E13" s="13">
        <f t="shared" si="0"/>
        <v>15</v>
      </c>
      <c r="F13" s="10" t="s">
        <v>4</v>
      </c>
      <c r="G13" s="10">
        <v>1</v>
      </c>
      <c r="H13" s="7"/>
      <c r="I13" s="7"/>
      <c r="J13" s="10">
        <v>1</v>
      </c>
      <c r="K13" s="10">
        <v>0</v>
      </c>
      <c r="L13" s="7" t="s">
        <v>186</v>
      </c>
      <c r="M13" s="38">
        <v>15</v>
      </c>
      <c r="N13" s="76"/>
      <c r="O13" s="39">
        <f t="shared" si="1"/>
        <v>0.25</v>
      </c>
      <c r="P13" s="30">
        <f t="shared" si="2"/>
        <v>0</v>
      </c>
      <c r="Q13" s="39">
        <f t="shared" si="3"/>
        <v>0</v>
      </c>
      <c r="R13" s="39">
        <f>IF(F13="denně",Q13*G13*$B$64,IF(F13="týdně",Q13*G13*$B$65,IF(F13="měsíčně",Q13*G13*$B$66,IF(F13="čtvrtletně",Q13*G13*4*$B$67,IF(F13="ročně",Q13*G13*$B$67,G13*Q13*$B$67)))))*'Základní údaje'!$H$13*IF(K39=1,'Základní údaje'!$C$12,1)</f>
        <v>0</v>
      </c>
      <c r="S13" s="64"/>
    </row>
    <row r="14" spans="1:19" ht="31.15" customHeight="1" x14ac:dyDescent="0.25">
      <c r="A14" s="11" t="s">
        <v>102</v>
      </c>
      <c r="B14" s="8"/>
      <c r="C14" s="8">
        <v>1</v>
      </c>
      <c r="D14" s="9">
        <v>2</v>
      </c>
      <c r="E14" s="13">
        <f t="shared" si="0"/>
        <v>2</v>
      </c>
      <c r="F14" s="10" t="s">
        <v>4</v>
      </c>
      <c r="G14" s="10">
        <v>1</v>
      </c>
      <c r="H14" s="7"/>
      <c r="I14" s="7"/>
      <c r="J14" s="10">
        <v>1</v>
      </c>
      <c r="K14" s="10">
        <v>0</v>
      </c>
      <c r="L14" s="7" t="s">
        <v>187</v>
      </c>
      <c r="M14" s="38">
        <v>8</v>
      </c>
      <c r="N14" s="76"/>
      <c r="O14" s="39">
        <f t="shared" si="1"/>
        <v>0.26666666666666666</v>
      </c>
      <c r="P14" s="30">
        <f t="shared" si="2"/>
        <v>0</v>
      </c>
      <c r="Q14" s="39">
        <f t="shared" si="3"/>
        <v>0</v>
      </c>
      <c r="R14" s="39">
        <f>IF(F14="denně",Q14*G14*$B$64,IF(F14="týdně",Q14*G14*$B$65,IF(F14="měsíčně",Q14*G14*$B$66,IF(F14="čtvrtletně",Q14*G14*4*$B$67,IF(F14="ročně",Q14*G14*$B$67,G14*Q14*$B$67)))))*'Základní údaje'!$H$13*IF(K40=1,'Základní údaje'!$C$12,1)</f>
        <v>0</v>
      </c>
      <c r="S14" s="64"/>
    </row>
    <row r="15" spans="1:19" ht="31.15" customHeight="1" x14ac:dyDescent="0.25">
      <c r="A15" s="7" t="s">
        <v>215</v>
      </c>
      <c r="B15" s="8">
        <v>35</v>
      </c>
      <c r="C15" s="8"/>
      <c r="D15" s="9">
        <v>1</v>
      </c>
      <c r="E15" s="13">
        <f t="shared" si="0"/>
        <v>35</v>
      </c>
      <c r="F15" s="10" t="s">
        <v>4</v>
      </c>
      <c r="G15" s="10">
        <v>1</v>
      </c>
      <c r="H15" s="7"/>
      <c r="I15" s="7"/>
      <c r="J15" s="10">
        <v>1</v>
      </c>
      <c r="K15" s="10">
        <v>0</v>
      </c>
      <c r="L15" s="7" t="s">
        <v>188</v>
      </c>
      <c r="M15" s="38">
        <v>10</v>
      </c>
      <c r="N15" s="76"/>
      <c r="O15" s="39">
        <f t="shared" si="1"/>
        <v>0.16666666666666666</v>
      </c>
      <c r="P15" s="30">
        <f t="shared" si="2"/>
        <v>0</v>
      </c>
      <c r="Q15" s="39">
        <f t="shared" si="3"/>
        <v>0</v>
      </c>
      <c r="R15" s="39">
        <f>IF(F15="denně",Q15*G15*$B$64,IF(F15="týdně",Q15*G15*$B$65,IF(F15="měsíčně",Q15*G15*$B$66,IF(F15="čtvrtletně",Q15*G15*4*$B$67,IF(F15="ročně",Q15*G15*$B$67,G15*Q15*$B$67)))))*'Základní údaje'!$H$13*IF(K41=1,'Základní údaje'!$C$12,1)</f>
        <v>0</v>
      </c>
      <c r="S15" s="64"/>
    </row>
    <row r="16" spans="1:19" ht="31.15" customHeight="1" x14ac:dyDescent="0.25">
      <c r="A16" s="7" t="s">
        <v>216</v>
      </c>
      <c r="B16" s="8">
        <v>27</v>
      </c>
      <c r="C16" s="8"/>
      <c r="D16" s="9">
        <v>14</v>
      </c>
      <c r="E16" s="13">
        <f t="shared" si="0"/>
        <v>378</v>
      </c>
      <c r="F16" s="10" t="s">
        <v>4</v>
      </c>
      <c r="G16" s="10">
        <v>1</v>
      </c>
      <c r="H16" s="7"/>
      <c r="I16" s="7"/>
      <c r="J16" s="10">
        <v>1</v>
      </c>
      <c r="K16" s="10">
        <v>0</v>
      </c>
      <c r="L16" s="7" t="s">
        <v>188</v>
      </c>
      <c r="M16" s="38">
        <v>25</v>
      </c>
      <c r="N16" s="76"/>
      <c r="O16" s="39">
        <f t="shared" si="1"/>
        <v>5.833333333333333</v>
      </c>
      <c r="P16" s="30">
        <f t="shared" si="2"/>
        <v>0</v>
      </c>
      <c r="Q16" s="39">
        <f t="shared" si="3"/>
        <v>0</v>
      </c>
      <c r="R16" s="39">
        <f>IF(F16="denně",Q16*G16*$B$64,IF(F16="týdně",Q16*G16*$B$65,IF(F16="měsíčně",Q16*G16*$B$66,IF(F16="čtvrtletně",Q16*G16*4*$B$67,IF(F16="ročně",Q16*G16*$B$67,G16*Q16*$B$67)))))*'Základní údaje'!$H$13*IF(K19=1,'Základní údaje'!$C$12,1)</f>
        <v>0</v>
      </c>
      <c r="S16" s="64"/>
    </row>
    <row r="17" spans="1:19" ht="31.15" customHeight="1" x14ac:dyDescent="0.25">
      <c r="A17" s="7" t="s">
        <v>217</v>
      </c>
      <c r="B17" s="8">
        <v>11</v>
      </c>
      <c r="C17" s="8"/>
      <c r="D17" s="9">
        <v>13</v>
      </c>
      <c r="E17" s="13">
        <f t="shared" si="0"/>
        <v>143</v>
      </c>
      <c r="F17" s="10" t="s">
        <v>4</v>
      </c>
      <c r="G17" s="10">
        <v>1</v>
      </c>
      <c r="H17" s="7"/>
      <c r="I17" s="7"/>
      <c r="J17" s="10">
        <v>1</v>
      </c>
      <c r="K17" s="10">
        <v>0</v>
      </c>
      <c r="L17" s="7" t="s">
        <v>189</v>
      </c>
      <c r="M17" s="38">
        <v>20</v>
      </c>
      <c r="N17" s="76"/>
      <c r="O17" s="39">
        <f t="shared" si="1"/>
        <v>4.333333333333333</v>
      </c>
      <c r="P17" s="30">
        <f t="shared" si="2"/>
        <v>0</v>
      </c>
      <c r="Q17" s="39">
        <f t="shared" si="3"/>
        <v>0</v>
      </c>
      <c r="R17" s="39">
        <f>IF(F17="denně",Q17*G17*$B$64,IF(F17="týdně",Q17*G17*$B$65,IF(F17="měsíčně",Q17*G17*$B$66,IF(F17="čtvrtletně",Q17*G17*4*$B$67,IF(F17="ročně",Q17*G17*$B$67,G17*Q17*$B$67)))))*'Základní údaje'!$H$13*IF(K47=1,'Základní údaje'!$C$12,1)</f>
        <v>0</v>
      </c>
      <c r="S17" s="64"/>
    </row>
    <row r="18" spans="1:19" ht="31.15" customHeight="1" x14ac:dyDescent="0.25">
      <c r="A18" s="7" t="s">
        <v>219</v>
      </c>
      <c r="B18" s="8">
        <v>13</v>
      </c>
      <c r="C18" s="8"/>
      <c r="D18" s="9">
        <v>1</v>
      </c>
      <c r="E18" s="13">
        <f t="shared" si="0"/>
        <v>13</v>
      </c>
      <c r="F18" s="10" t="s">
        <v>4</v>
      </c>
      <c r="G18" s="10">
        <v>1</v>
      </c>
      <c r="H18" s="7"/>
      <c r="I18" s="7"/>
      <c r="J18" s="10">
        <v>1</v>
      </c>
      <c r="K18" s="10">
        <v>0</v>
      </c>
      <c r="L18" s="7" t="s">
        <v>220</v>
      </c>
      <c r="M18" s="38">
        <v>20</v>
      </c>
      <c r="N18" s="76"/>
      <c r="O18" s="39">
        <f t="shared" si="1"/>
        <v>0.33333333333333331</v>
      </c>
      <c r="P18" s="30">
        <f t="shared" si="2"/>
        <v>0</v>
      </c>
      <c r="Q18" s="39">
        <f t="shared" si="3"/>
        <v>0</v>
      </c>
      <c r="R18" s="39">
        <f>IF(F18="denně",Q18*G18*$B$64,IF(F18="týdně",Q18*G18*$B$65,IF(F18="měsíčně",Q18*G18*$B$66,IF(F18="čtvrtletně",Q18*G18*4*$B$67,IF(F18="ročně",Q18*G18*$B$67,G18*Q18*$B$67)))))*'Základní údaje'!$H$13*IF(K48=1,'Základní údaje'!$C$12,1)</f>
        <v>0</v>
      </c>
      <c r="S18" s="64"/>
    </row>
    <row r="19" spans="1:19" ht="31.15" customHeight="1" x14ac:dyDescent="0.25">
      <c r="A19" s="7" t="s">
        <v>41</v>
      </c>
      <c r="B19" s="8">
        <v>15</v>
      </c>
      <c r="C19" s="8"/>
      <c r="D19" s="9">
        <v>1</v>
      </c>
      <c r="E19" s="13">
        <f>B19*D19+C19*D19</f>
        <v>15</v>
      </c>
      <c r="F19" s="10" t="s">
        <v>4</v>
      </c>
      <c r="G19" s="10">
        <v>1</v>
      </c>
      <c r="H19" s="7"/>
      <c r="I19" s="7"/>
      <c r="J19" s="10">
        <v>1</v>
      </c>
      <c r="K19" s="10">
        <v>0</v>
      </c>
      <c r="L19" s="7" t="s">
        <v>222</v>
      </c>
      <c r="M19" s="38">
        <v>10</v>
      </c>
      <c r="N19" s="76"/>
      <c r="O19" s="39">
        <f>IF(N19=0,M19*D19/60,N19*D19/60)</f>
        <v>0.16666666666666666</v>
      </c>
      <c r="P19" s="30">
        <f>ROUND(IF(N19=0,M19/60*$B$2,N19/60*$B$2),0)</f>
        <v>0</v>
      </c>
      <c r="Q19" s="39">
        <f>P19*D19</f>
        <v>0</v>
      </c>
      <c r="R19" s="39">
        <f>IF(F19="denně",Q19*G19*$B$64,IF(F19="týdně",Q19*G19*$B$65,IF(F19="měsíčně",Q19*G19*$B$66,IF(F19="čtvrtletně",Q19*G19*4*$B$67,IF(F19="ročně",Q19*G19*$B$67,G19*Q19*$B$67)))))*'Základní údaje'!$H$13*IF(K62=1,'Základní údaje'!$C$12,1)</f>
        <v>0</v>
      </c>
      <c r="S19" s="64"/>
    </row>
    <row r="20" spans="1:19" ht="31.15" customHeight="1" x14ac:dyDescent="0.25">
      <c r="A20" s="7" t="s">
        <v>39</v>
      </c>
      <c r="B20" s="8">
        <v>100</v>
      </c>
      <c r="C20" s="8"/>
      <c r="D20" s="9">
        <v>1</v>
      </c>
      <c r="E20" s="13">
        <f t="shared" si="0"/>
        <v>100</v>
      </c>
      <c r="F20" s="10" t="s">
        <v>5</v>
      </c>
      <c r="G20" s="10">
        <v>1</v>
      </c>
      <c r="H20" s="7"/>
      <c r="I20" s="7"/>
      <c r="J20" s="10">
        <v>1</v>
      </c>
      <c r="K20" s="10">
        <v>0</v>
      </c>
      <c r="L20" s="7" t="s">
        <v>184</v>
      </c>
      <c r="M20" s="38">
        <v>40</v>
      </c>
      <c r="N20" s="76"/>
      <c r="O20" s="39">
        <f t="shared" si="1"/>
        <v>0.66666666666666663</v>
      </c>
      <c r="P20" s="30">
        <f t="shared" si="2"/>
        <v>0</v>
      </c>
      <c r="Q20" s="39">
        <f t="shared" si="3"/>
        <v>0</v>
      </c>
      <c r="R20" s="39">
        <f>IF(F20="denně",Q20*G20*$B$64,IF(F20="týdně",Q20*G20*$B$65,IF(F20="měsíčně",Q20*G20*$B$66,IF(F20="čtvrtletně",Q20*G20*4*$B$67,IF(F20="ročně",Q20*G20*$B$67,G20*Q20*$B$67)))))*'Základní údaje'!$H$13*IF(K48=1,'Základní údaje'!$C$12,1)</f>
        <v>0</v>
      </c>
      <c r="S20" s="64"/>
    </row>
    <row r="21" spans="1:19" ht="31.15" customHeight="1" x14ac:dyDescent="0.25">
      <c r="A21" s="7" t="s">
        <v>198</v>
      </c>
      <c r="B21" s="8">
        <v>50</v>
      </c>
      <c r="C21" s="8"/>
      <c r="D21" s="9">
        <v>1</v>
      </c>
      <c r="E21" s="13">
        <f t="shared" si="0"/>
        <v>50</v>
      </c>
      <c r="F21" s="10" t="s">
        <v>5</v>
      </c>
      <c r="G21" s="10">
        <v>1</v>
      </c>
      <c r="H21" s="7"/>
      <c r="I21" s="7"/>
      <c r="J21" s="10">
        <v>1</v>
      </c>
      <c r="K21" s="10">
        <v>0</v>
      </c>
      <c r="L21" s="7" t="s">
        <v>184</v>
      </c>
      <c r="M21" s="38">
        <v>30</v>
      </c>
      <c r="N21" s="76"/>
      <c r="O21" s="39">
        <f t="shared" si="1"/>
        <v>0.5</v>
      </c>
      <c r="P21" s="30">
        <f t="shared" si="2"/>
        <v>0</v>
      </c>
      <c r="Q21" s="39">
        <f t="shared" si="3"/>
        <v>0</v>
      </c>
      <c r="R21" s="39">
        <f>IF(F21="denně",Q21*G21*$B$64,IF(F21="týdně",Q21*G21*$B$65,IF(F21="měsíčně",Q21*G21*$B$66,IF(F21="čtvrtletně",Q21*G21*4*$B$67,IF(F21="ročně",Q21*G21*$B$67,G21*Q21*$B$67)))))*'Základní údaje'!$H$13*IF(K50=1,'Základní údaje'!$C$12,1)</f>
        <v>0</v>
      </c>
      <c r="S21" s="64"/>
    </row>
    <row r="22" spans="1:19" ht="31.15" customHeight="1" x14ac:dyDescent="0.25">
      <c r="A22" s="7" t="s">
        <v>226</v>
      </c>
      <c r="B22" s="8"/>
      <c r="C22" s="8">
        <v>1</v>
      </c>
      <c r="D22" s="9">
        <v>8</v>
      </c>
      <c r="E22" s="13">
        <f t="shared" si="0"/>
        <v>8</v>
      </c>
      <c r="F22" s="10" t="s">
        <v>5</v>
      </c>
      <c r="G22" s="10">
        <v>1</v>
      </c>
      <c r="H22" s="7"/>
      <c r="I22" s="7"/>
      <c r="J22" s="10">
        <v>1</v>
      </c>
      <c r="K22" s="10">
        <v>0</v>
      </c>
      <c r="L22" s="7" t="s">
        <v>225</v>
      </c>
      <c r="M22" s="38">
        <v>5</v>
      </c>
      <c r="N22" s="76"/>
      <c r="O22" s="39">
        <f t="shared" si="1"/>
        <v>0.66666666666666663</v>
      </c>
      <c r="P22" s="30">
        <f t="shared" si="2"/>
        <v>0</v>
      </c>
      <c r="Q22" s="39">
        <f t="shared" si="3"/>
        <v>0</v>
      </c>
      <c r="R22" s="39">
        <f>IF(F22="denně",Q22*G22*$B$64,IF(F22="týdně",Q22*G22*$B$65,IF(F22="měsíčně",Q22*G22*$B$66,IF(F22="čtvrtletně",Q22*G22*4*$B$67,IF(F22="ročně",Q22*G22*$B$67,G22*Q22*$B$67)))))*'Základní údaje'!$H$13*IF(K51=1,'Základní údaje'!$C$12,1)</f>
        <v>0</v>
      </c>
      <c r="S22" s="64"/>
    </row>
    <row r="23" spans="1:19" ht="31.15" customHeight="1" x14ac:dyDescent="0.25">
      <c r="A23" s="7" t="s">
        <v>227</v>
      </c>
      <c r="B23" s="8"/>
      <c r="C23" s="8">
        <v>1</v>
      </c>
      <c r="D23" s="9">
        <v>8</v>
      </c>
      <c r="E23" s="13">
        <f t="shared" si="0"/>
        <v>8</v>
      </c>
      <c r="F23" s="10" t="s">
        <v>5</v>
      </c>
      <c r="G23" s="10">
        <v>1</v>
      </c>
      <c r="H23" s="7"/>
      <c r="I23" s="7"/>
      <c r="J23" s="10">
        <v>1</v>
      </c>
      <c r="K23" s="10">
        <v>0</v>
      </c>
      <c r="L23" s="7" t="s">
        <v>225</v>
      </c>
      <c r="M23" s="38">
        <v>5</v>
      </c>
      <c r="N23" s="76"/>
      <c r="O23" s="39">
        <f t="shared" si="1"/>
        <v>0.66666666666666663</v>
      </c>
      <c r="P23" s="30">
        <f t="shared" si="2"/>
        <v>0</v>
      </c>
      <c r="Q23" s="39">
        <f t="shared" si="3"/>
        <v>0</v>
      </c>
      <c r="R23" s="39">
        <f>IF(F23="denně",Q23*G23*$B$64,IF(F23="týdně",Q23*G23*$B$65,IF(F23="měsíčně",Q23*G23*$B$66,IF(F23="čtvrtletně",Q23*G23*4*$B$67,IF(F23="ročně",Q23*G23*$B$67,G23*Q23*$B$67)))))*'Základní údaje'!$H$13*IF(K52=1,'Základní údaje'!$C$12,1)</f>
        <v>0</v>
      </c>
      <c r="S23" s="64"/>
    </row>
    <row r="24" spans="1:19" ht="31.15" customHeight="1" x14ac:dyDescent="0.25">
      <c r="A24" s="7" t="s">
        <v>35</v>
      </c>
      <c r="B24" s="8"/>
      <c r="C24" s="8">
        <v>1</v>
      </c>
      <c r="D24" s="9">
        <v>21</v>
      </c>
      <c r="E24" s="13">
        <f t="shared" si="0"/>
        <v>21</v>
      </c>
      <c r="F24" s="10" t="s">
        <v>5</v>
      </c>
      <c r="G24" s="10">
        <v>1</v>
      </c>
      <c r="H24" s="7"/>
      <c r="I24" s="7"/>
      <c r="J24" s="10">
        <v>1</v>
      </c>
      <c r="K24" s="10">
        <v>0</v>
      </c>
      <c r="L24" s="7" t="s">
        <v>103</v>
      </c>
      <c r="M24" s="38">
        <v>8</v>
      </c>
      <c r="N24" s="76"/>
      <c r="O24" s="39">
        <f t="shared" si="1"/>
        <v>2.8</v>
      </c>
      <c r="P24" s="30">
        <f t="shared" si="2"/>
        <v>0</v>
      </c>
      <c r="Q24" s="39">
        <f t="shared" si="3"/>
        <v>0</v>
      </c>
      <c r="R24" s="39">
        <f>IF(F24="denně",Q24*G24*$B$64,IF(F24="týdně",Q24*G24*$B$65,IF(F24="měsíčně",Q24*G24*$B$66,IF(F24="čtvrtletně",Q24*G24*4*$B$67,IF(F24="ročně",Q24*G24*$B$67,G24*Q24*$B$67)))))*'Základní údaje'!$H$13*IF(K53=1,'Základní údaje'!$C$12,1)</f>
        <v>0</v>
      </c>
      <c r="S24" s="64"/>
    </row>
    <row r="25" spans="1:19" ht="31.15" customHeight="1" x14ac:dyDescent="0.25">
      <c r="A25" s="7" t="s">
        <v>40</v>
      </c>
      <c r="B25" s="8">
        <v>81</v>
      </c>
      <c r="C25" s="8"/>
      <c r="D25" s="9">
        <v>1</v>
      </c>
      <c r="E25" s="13">
        <f t="shared" si="0"/>
        <v>81</v>
      </c>
      <c r="F25" s="10" t="s">
        <v>5</v>
      </c>
      <c r="G25" s="10">
        <v>1</v>
      </c>
      <c r="H25" s="7"/>
      <c r="I25" s="7"/>
      <c r="J25" s="10">
        <v>1</v>
      </c>
      <c r="K25" s="10">
        <v>0</v>
      </c>
      <c r="L25" s="7" t="s">
        <v>184</v>
      </c>
      <c r="M25" s="38">
        <v>30</v>
      </c>
      <c r="N25" s="76"/>
      <c r="O25" s="39">
        <f t="shared" si="1"/>
        <v>0.5</v>
      </c>
      <c r="P25" s="30">
        <f t="shared" si="2"/>
        <v>0</v>
      </c>
      <c r="Q25" s="39">
        <f t="shared" si="3"/>
        <v>0</v>
      </c>
      <c r="R25" s="39">
        <f>IF(F25="denně",Q25*G25*$B$64,IF(F25="týdně",Q25*G25*$B$65,IF(F25="měsíčně",Q25*G25*$B$66,IF(F25="čtvrtletně",Q25*G25*4*$B$67,IF(F25="ročně",Q25*G25*$B$67,G25*Q25*$B$67)))))*'Základní údaje'!$H$13*IF(K54=1,'Základní údaje'!$C$12,1)</f>
        <v>0</v>
      </c>
      <c r="S25" s="64"/>
    </row>
    <row r="26" spans="1:19" ht="31.15" customHeight="1" x14ac:dyDescent="0.25">
      <c r="A26" s="7" t="s">
        <v>42</v>
      </c>
      <c r="B26" s="8">
        <v>15</v>
      </c>
      <c r="C26" s="8"/>
      <c r="D26" s="9">
        <v>1</v>
      </c>
      <c r="E26" s="13">
        <f t="shared" si="0"/>
        <v>15</v>
      </c>
      <c r="F26" s="10" t="s">
        <v>5</v>
      </c>
      <c r="G26" s="10">
        <v>1</v>
      </c>
      <c r="H26" s="7"/>
      <c r="I26" s="7"/>
      <c r="J26" s="10">
        <v>1</v>
      </c>
      <c r="K26" s="10">
        <v>0</v>
      </c>
      <c r="L26" s="7" t="s">
        <v>184</v>
      </c>
      <c r="M26" s="38">
        <v>15</v>
      </c>
      <c r="N26" s="76"/>
      <c r="O26" s="39">
        <f t="shared" si="1"/>
        <v>0.25</v>
      </c>
      <c r="P26" s="30">
        <f t="shared" si="2"/>
        <v>0</v>
      </c>
      <c r="Q26" s="39">
        <f t="shared" si="3"/>
        <v>0</v>
      </c>
      <c r="R26" s="39">
        <f>IF(F26="denně",Q26*G26*$B$64,IF(F26="týdně",Q26*G26*$B$65,IF(F26="měsíčně",Q26*G26*$B$66,IF(F26="čtvrtletně",Q26*G26*4*$B$67,IF(F26="ročně",Q26*G26*$B$67,G26*Q26*$B$67)))))*'Základní údaje'!$H$13*IF(K55=1,'Základní údaje'!$C$12,1)</f>
        <v>0</v>
      </c>
      <c r="S26" s="64"/>
    </row>
    <row r="27" spans="1:19" ht="31.15" customHeight="1" x14ac:dyDescent="0.25">
      <c r="A27" s="7" t="s">
        <v>44</v>
      </c>
      <c r="B27" s="8">
        <v>5</v>
      </c>
      <c r="C27" s="8"/>
      <c r="D27" s="9">
        <v>1</v>
      </c>
      <c r="E27" s="13">
        <f t="shared" si="0"/>
        <v>5</v>
      </c>
      <c r="F27" s="10" t="s">
        <v>5</v>
      </c>
      <c r="G27" s="10">
        <v>3</v>
      </c>
      <c r="H27" s="7"/>
      <c r="I27" s="7"/>
      <c r="J27" s="10">
        <v>1</v>
      </c>
      <c r="K27" s="10">
        <v>0</v>
      </c>
      <c r="L27" s="7" t="s">
        <v>188</v>
      </c>
      <c r="M27" s="38">
        <v>3</v>
      </c>
      <c r="N27" s="76"/>
      <c r="O27" s="39">
        <f t="shared" si="1"/>
        <v>0.05</v>
      </c>
      <c r="P27" s="30">
        <f t="shared" si="2"/>
        <v>0</v>
      </c>
      <c r="Q27" s="39">
        <f t="shared" si="3"/>
        <v>0</v>
      </c>
      <c r="R27" s="39">
        <f>IF(F27="denně",Q27*G27*$B$64,IF(F27="týdně",Q27*G27*$B$65,IF(F27="měsíčně",Q27*G27*$B$66,IF(F27="čtvrtletně",Q27*G27*4*$B$67,IF(F27="ročně",Q27*G27*$B$67,G27*Q27*$B$67)))))*'Základní údaje'!$H$13*IF(K49=1,'Základní údaje'!$C$12,1)</f>
        <v>0</v>
      </c>
      <c r="S27" s="64"/>
    </row>
    <row r="28" spans="1:19" ht="31.15" customHeight="1" x14ac:dyDescent="0.25">
      <c r="A28" s="7" t="s">
        <v>51</v>
      </c>
      <c r="B28" s="8">
        <v>4</v>
      </c>
      <c r="C28" s="8"/>
      <c r="D28" s="9">
        <v>18</v>
      </c>
      <c r="E28" s="13">
        <f t="shared" si="0"/>
        <v>72</v>
      </c>
      <c r="F28" s="10" t="s">
        <v>5</v>
      </c>
      <c r="G28" s="10">
        <v>1</v>
      </c>
      <c r="H28" s="7"/>
      <c r="I28" s="7"/>
      <c r="J28" s="10">
        <v>1</v>
      </c>
      <c r="K28" s="10">
        <v>0</v>
      </c>
      <c r="L28" s="7" t="s">
        <v>190</v>
      </c>
      <c r="M28" s="38">
        <v>7</v>
      </c>
      <c r="N28" s="76"/>
      <c r="O28" s="39">
        <f t="shared" si="1"/>
        <v>2.1</v>
      </c>
      <c r="P28" s="30">
        <f t="shared" si="2"/>
        <v>0</v>
      </c>
      <c r="Q28" s="39">
        <f t="shared" si="3"/>
        <v>0</v>
      </c>
      <c r="R28" s="39">
        <f>IF(F28="denně",Q28*G28*$B$64,IF(F28="týdně",Q28*G28*$B$65,IF(F28="měsíčně",Q28*G28*$B$66,IF(F28="čtvrtletně",Q28*G28*4*$B$67,IF(F28="ročně",Q28*G28*$B$67,G28*Q28*$B$67)))))*'Základní údaje'!$H$13*IF(K56=1,'Základní údaje'!$C$12,1)</f>
        <v>0</v>
      </c>
      <c r="S28" s="64"/>
    </row>
    <row r="29" spans="1:19" ht="31.15" customHeight="1" x14ac:dyDescent="0.25">
      <c r="A29" s="7" t="s">
        <v>218</v>
      </c>
      <c r="B29" s="8">
        <v>22</v>
      </c>
      <c r="C29" s="8"/>
      <c r="D29" s="9">
        <v>1</v>
      </c>
      <c r="E29" s="13">
        <f t="shared" si="0"/>
        <v>22</v>
      </c>
      <c r="F29" s="10" t="s">
        <v>5</v>
      </c>
      <c r="G29" s="10">
        <v>1</v>
      </c>
      <c r="H29" s="7"/>
      <c r="I29" s="7"/>
      <c r="J29" s="10">
        <v>1</v>
      </c>
      <c r="K29" s="10">
        <v>0</v>
      </c>
      <c r="L29" s="7" t="s">
        <v>184</v>
      </c>
      <c r="M29" s="38">
        <v>15</v>
      </c>
      <c r="N29" s="76"/>
      <c r="O29" s="39">
        <f t="shared" si="1"/>
        <v>0.25</v>
      </c>
      <c r="P29" s="30">
        <f t="shared" si="2"/>
        <v>0</v>
      </c>
      <c r="Q29" s="39">
        <f t="shared" si="3"/>
        <v>0</v>
      </c>
      <c r="R29" s="39">
        <f>IF(F29="denně",Q29*G29*$B$64,IF(F29="týdně",Q29*G29*$B$65,IF(F29="měsíčně",Q29*G29*$B$66,IF(F29="čtvrtletně",Q29*G29*4*$B$67,IF(F29="ročně",Q29*G29*$B$67,G29*Q29*$B$67)))))*'Základní údaje'!$H$13*IF(K57=1,'Základní údaje'!$C$12,1)</f>
        <v>0</v>
      </c>
      <c r="S29" s="64"/>
    </row>
    <row r="30" spans="1:19" ht="31.15" customHeight="1" x14ac:dyDescent="0.25">
      <c r="A30" s="7" t="s">
        <v>203</v>
      </c>
      <c r="B30" s="8">
        <v>15</v>
      </c>
      <c r="C30" s="8"/>
      <c r="D30" s="9">
        <v>4</v>
      </c>
      <c r="E30" s="13">
        <f t="shared" si="0"/>
        <v>60</v>
      </c>
      <c r="F30" s="10" t="s">
        <v>5</v>
      </c>
      <c r="G30" s="10">
        <v>1</v>
      </c>
      <c r="H30" s="7"/>
      <c r="I30" s="7"/>
      <c r="J30" s="10">
        <v>1</v>
      </c>
      <c r="K30" s="10">
        <v>1</v>
      </c>
      <c r="L30" s="7" t="s">
        <v>192</v>
      </c>
      <c r="M30" s="38">
        <v>30</v>
      </c>
      <c r="N30" s="76"/>
      <c r="O30" s="39">
        <f t="shared" si="1"/>
        <v>2</v>
      </c>
      <c r="P30" s="30">
        <f t="shared" si="2"/>
        <v>0</v>
      </c>
      <c r="Q30" s="39">
        <f t="shared" si="3"/>
        <v>0</v>
      </c>
      <c r="R30" s="39">
        <f>IF(F30="denně",Q30*G30*$B$64,IF(F30="týdně",Q30*G30*$B$65,IF(F30="měsíčně",Q30*G30*$B$66,IF(F30="čtvrtletně",Q30*G30*4*$B$67,IF(F30="ročně",Q30*G30*$B$67,G30*Q30*$B$67)))))*'Základní údaje'!$H$13*IF(K57=1,'Základní údaje'!$C$12,1)</f>
        <v>0</v>
      </c>
      <c r="S30" s="64"/>
    </row>
    <row r="31" spans="1:19" ht="31.15" customHeight="1" x14ac:dyDescent="0.25">
      <c r="A31" s="7" t="s">
        <v>204</v>
      </c>
      <c r="B31" s="8">
        <v>12</v>
      </c>
      <c r="C31" s="8"/>
      <c r="D31" s="9">
        <v>1</v>
      </c>
      <c r="E31" s="13">
        <f t="shared" si="0"/>
        <v>12</v>
      </c>
      <c r="F31" s="10" t="s">
        <v>5</v>
      </c>
      <c r="G31" s="10">
        <v>1</v>
      </c>
      <c r="H31" s="7"/>
      <c r="I31" s="7"/>
      <c r="J31" s="10">
        <v>1</v>
      </c>
      <c r="K31" s="10">
        <v>1</v>
      </c>
      <c r="L31" s="7" t="s">
        <v>192</v>
      </c>
      <c r="M31" s="38">
        <v>25</v>
      </c>
      <c r="N31" s="76"/>
      <c r="O31" s="39">
        <f t="shared" si="1"/>
        <v>0.41666666666666669</v>
      </c>
      <c r="P31" s="30">
        <f t="shared" si="2"/>
        <v>0</v>
      </c>
      <c r="Q31" s="39">
        <f t="shared" si="3"/>
        <v>0</v>
      </c>
      <c r="R31" s="39">
        <f>IF(F31="denně",Q31*G31*$B$64,IF(F31="týdně",Q31*G31*$B$65,IF(F31="měsíčně",Q31*G31*$B$66,IF(F31="čtvrtletně",Q31*G31*4*$B$67,IF(F31="ročně",Q31*G31*$B$67,G31*Q31*$B$67)))))*'Základní údaje'!$H$13*IF(K58=1,'Základní údaje'!$C$12,1)</f>
        <v>0</v>
      </c>
      <c r="S31" s="64"/>
    </row>
    <row r="32" spans="1:19" ht="31.15" customHeight="1" x14ac:dyDescent="0.25">
      <c r="A32" s="7" t="s">
        <v>209</v>
      </c>
      <c r="B32" s="8">
        <v>23</v>
      </c>
      <c r="C32" s="8"/>
      <c r="D32" s="9">
        <v>1</v>
      </c>
      <c r="E32" s="13">
        <f t="shared" ref="E32" si="4">B32*D32+C32*D32</f>
        <v>23</v>
      </c>
      <c r="F32" s="10" t="s">
        <v>5</v>
      </c>
      <c r="G32" s="10">
        <v>1</v>
      </c>
      <c r="H32" s="7"/>
      <c r="I32" s="7"/>
      <c r="J32" s="10">
        <v>1</v>
      </c>
      <c r="K32" s="10">
        <v>1</v>
      </c>
      <c r="L32" s="7" t="s">
        <v>192</v>
      </c>
      <c r="M32" s="38">
        <v>35</v>
      </c>
      <c r="N32" s="76"/>
      <c r="O32" s="39">
        <f t="shared" ref="O32" si="5">IF(N32=0,M32*D32/60,N32*D32/60)</f>
        <v>0.58333333333333337</v>
      </c>
      <c r="P32" s="30">
        <f t="shared" ref="P32" si="6">ROUND(IF(N32=0,M32/60*$B$2,N32/60*$B$2),0)</f>
        <v>0</v>
      </c>
      <c r="Q32" s="39">
        <f t="shared" ref="Q32" si="7">P32*D32</f>
        <v>0</v>
      </c>
      <c r="R32" s="39">
        <f>IF(F32="denně",Q32*G32*$B$64,IF(F32="týdně",Q32*G32*$B$65,IF(F32="měsíčně",Q32*G32*$B$66,IF(F32="čtvrtletně",Q32*G32*4*$B$67,IF(F32="ročně",Q32*G32*$B$67,G32*Q32*$B$67)))))*'Základní údaje'!$H$13*IF(K59=1,'Základní údaje'!$C$12,1)</f>
        <v>0</v>
      </c>
      <c r="S32" s="64"/>
    </row>
    <row r="33" spans="1:19" ht="31.15" customHeight="1" x14ac:dyDescent="0.25">
      <c r="A33" s="7" t="s">
        <v>203</v>
      </c>
      <c r="B33" s="8">
        <v>15</v>
      </c>
      <c r="C33" s="8"/>
      <c r="D33" s="9">
        <v>4</v>
      </c>
      <c r="E33" s="13">
        <f t="shared" ref="E33:E34" si="8">B33*D33+C33*D33</f>
        <v>60</v>
      </c>
      <c r="F33" s="10" t="s">
        <v>5</v>
      </c>
      <c r="G33" s="10">
        <v>1</v>
      </c>
      <c r="H33" s="7"/>
      <c r="I33" s="7"/>
      <c r="J33" s="10">
        <v>1</v>
      </c>
      <c r="K33" s="10">
        <v>1</v>
      </c>
      <c r="L33" s="7" t="s">
        <v>194</v>
      </c>
      <c r="M33" s="38">
        <v>10</v>
      </c>
      <c r="N33" s="76"/>
      <c r="O33" s="39">
        <f t="shared" ref="O33:O34" si="9">IF(N33=0,M33*D33/60,N33*D33/60)</f>
        <v>0.66666666666666663</v>
      </c>
      <c r="P33" s="30">
        <f t="shared" ref="P33:P34" si="10">ROUND(IF(N33=0,M33/60*$B$2,N33/60*$B$2),0)</f>
        <v>0</v>
      </c>
      <c r="Q33" s="39">
        <f t="shared" ref="Q33:Q34" si="11">P33*D33</f>
        <v>0</v>
      </c>
      <c r="R33" s="39">
        <f>IF(F33="denně",Q33*G33*$B$64,IF(F33="týdně",Q33*G33*$B$65,IF(F33="měsíčně",Q33*G33*$B$66,IF(F33="čtvrtletně",Q33*G33*4*$B$67,IF(F33="ročně",Q33*G33*$B$67,G33*Q33*$B$67)))))*'Základní údaje'!$H$13*IF(K59=1,'Základní údaje'!$C$12,1)</f>
        <v>0</v>
      </c>
      <c r="S33" s="64"/>
    </row>
    <row r="34" spans="1:19" ht="31.15" customHeight="1" x14ac:dyDescent="0.25">
      <c r="A34" s="7" t="s">
        <v>204</v>
      </c>
      <c r="B34" s="8">
        <v>12</v>
      </c>
      <c r="C34" s="8"/>
      <c r="D34" s="9">
        <v>1</v>
      </c>
      <c r="E34" s="13">
        <f t="shared" si="8"/>
        <v>12</v>
      </c>
      <c r="F34" s="10" t="s">
        <v>5</v>
      </c>
      <c r="G34" s="10">
        <v>1</v>
      </c>
      <c r="H34" s="7"/>
      <c r="I34" s="7"/>
      <c r="J34" s="10">
        <v>1</v>
      </c>
      <c r="K34" s="10">
        <v>1</v>
      </c>
      <c r="L34" s="7" t="s">
        <v>194</v>
      </c>
      <c r="M34" s="38">
        <v>8</v>
      </c>
      <c r="N34" s="76"/>
      <c r="O34" s="39">
        <f t="shared" si="9"/>
        <v>0.13333333333333333</v>
      </c>
      <c r="P34" s="30">
        <f t="shared" si="10"/>
        <v>0</v>
      </c>
      <c r="Q34" s="39">
        <f t="shared" si="11"/>
        <v>0</v>
      </c>
      <c r="R34" s="39">
        <f>IF(F34="denně",Q34*G34*$B$64,IF(F34="týdně",Q34*G34*$B$65,IF(F34="měsíčně",Q34*G34*$B$66,IF(F34="čtvrtletně",Q34*G34*4*$B$67,IF(F34="ročně",Q34*G34*$B$67,G34*Q34*$B$67)))))*'Základní údaje'!$H$13*IF(K60=1,'Základní údaje'!$C$12,1)</f>
        <v>0</v>
      </c>
      <c r="S34" s="64"/>
    </row>
    <row r="35" spans="1:19" ht="31.15" customHeight="1" x14ac:dyDescent="0.25">
      <c r="A35" s="7" t="s">
        <v>209</v>
      </c>
      <c r="B35" s="8">
        <v>23</v>
      </c>
      <c r="C35" s="8"/>
      <c r="D35" s="9">
        <v>1</v>
      </c>
      <c r="E35" s="13">
        <f t="shared" ref="E35" si="12">B35*D35+C35*D35</f>
        <v>23</v>
      </c>
      <c r="F35" s="10" t="s">
        <v>5</v>
      </c>
      <c r="G35" s="10">
        <v>1</v>
      </c>
      <c r="H35" s="7"/>
      <c r="I35" s="7"/>
      <c r="J35" s="10">
        <v>1</v>
      </c>
      <c r="K35" s="10">
        <v>1</v>
      </c>
      <c r="L35" s="7" t="s">
        <v>194</v>
      </c>
      <c r="M35" s="38">
        <v>11</v>
      </c>
      <c r="N35" s="76"/>
      <c r="O35" s="39">
        <f t="shared" ref="O35" si="13">IF(N35=0,M35*D35/60,N35*D35/60)</f>
        <v>0.18333333333333332</v>
      </c>
      <c r="P35" s="30">
        <f t="shared" ref="P35" si="14">ROUND(IF(N35=0,M35/60*$B$2,N35/60*$B$2),0)</f>
        <v>0</v>
      </c>
      <c r="Q35" s="39">
        <f t="shared" ref="Q35" si="15">P35*D35</f>
        <v>0</v>
      </c>
      <c r="R35" s="39">
        <f>IF(F35="denně",Q35*G35*$B$64,IF(F35="týdně",Q35*G35*$B$65,IF(F35="měsíčně",Q35*G35*$B$66,IF(F35="čtvrtletně",Q35*G35*4*$B$67,IF(F35="ročně",Q35*G35*$B$67,G35*Q35*$B$67)))))*'Základní údaje'!$H$13*IF(K61=1,'Základní údaje'!$C$12,1)</f>
        <v>0</v>
      </c>
      <c r="S35" s="64"/>
    </row>
    <row r="36" spans="1:19" ht="31.15" customHeight="1" x14ac:dyDescent="0.25">
      <c r="A36" s="7" t="s">
        <v>205</v>
      </c>
      <c r="B36" s="8">
        <v>6</v>
      </c>
      <c r="C36" s="8"/>
      <c r="D36" s="9">
        <v>1</v>
      </c>
      <c r="E36" s="13">
        <f t="shared" si="0"/>
        <v>6</v>
      </c>
      <c r="F36" s="10" t="s">
        <v>5</v>
      </c>
      <c r="G36" s="10">
        <v>1</v>
      </c>
      <c r="H36" s="7"/>
      <c r="I36" s="7"/>
      <c r="J36" s="10">
        <v>1</v>
      </c>
      <c r="K36" s="10">
        <v>1</v>
      </c>
      <c r="L36" s="7" t="s">
        <v>189</v>
      </c>
      <c r="M36" s="38">
        <v>20</v>
      </c>
      <c r="N36" s="76"/>
      <c r="O36" s="39">
        <f t="shared" si="1"/>
        <v>0.33333333333333331</v>
      </c>
      <c r="P36" s="30">
        <f t="shared" si="2"/>
        <v>0</v>
      </c>
      <c r="Q36" s="39">
        <f t="shared" si="3"/>
        <v>0</v>
      </c>
      <c r="R36" s="39">
        <f>IF(F36="denně",Q36*G36*$B$64,IF(F36="týdně",Q36*G36*$B$65,IF(F36="měsíčně",Q36*G36*$B$66,IF(F36="čtvrtletně",Q36*G36*4*$B$67,IF(F36="ročně",Q36*G36*$B$67,G36*Q36*$B$67)))))*'Základní údaje'!$H$13*IF(K59=1,'Základní údaje'!$C$12,1)</f>
        <v>0</v>
      </c>
      <c r="S36" s="64"/>
    </row>
    <row r="37" spans="1:19" ht="31.15" customHeight="1" x14ac:dyDescent="0.25">
      <c r="A37" s="7" t="s">
        <v>89</v>
      </c>
      <c r="B37" s="8">
        <v>2</v>
      </c>
      <c r="C37" s="8"/>
      <c r="D37" s="9">
        <v>4</v>
      </c>
      <c r="E37" s="13">
        <f t="shared" si="0"/>
        <v>8</v>
      </c>
      <c r="F37" s="10" t="s">
        <v>5</v>
      </c>
      <c r="G37" s="10">
        <v>1</v>
      </c>
      <c r="H37" s="7"/>
      <c r="I37" s="7"/>
      <c r="J37" s="10">
        <v>1</v>
      </c>
      <c r="K37" s="10">
        <v>1</v>
      </c>
      <c r="L37" s="7" t="s">
        <v>193</v>
      </c>
      <c r="M37" s="38">
        <v>7</v>
      </c>
      <c r="N37" s="76"/>
      <c r="O37" s="39">
        <f t="shared" si="1"/>
        <v>0.46666666666666667</v>
      </c>
      <c r="P37" s="30">
        <f t="shared" si="2"/>
        <v>0</v>
      </c>
      <c r="Q37" s="39">
        <f t="shared" si="3"/>
        <v>0</v>
      </c>
      <c r="R37" s="39">
        <f>IF(F37="denně",Q37*G37*$B$64,IF(F37="týdně",Q37*G37*$B$65,IF(F37="měsíčně",Q37*G37*$B$66,IF(F37="čtvrtletně",Q37*G37*4*$B$67,IF(F37="ročně",Q37*G37*$B$67,G37*Q37*$B$67)))))*'Základní údaje'!$H$13*IF(K60=1,'Základní údaje'!$C$12,1)</f>
        <v>0</v>
      </c>
      <c r="S37" s="64"/>
    </row>
    <row r="38" spans="1:19" ht="31.15" customHeight="1" x14ac:dyDescent="0.25">
      <c r="A38" s="7" t="s">
        <v>104</v>
      </c>
      <c r="B38" s="8">
        <v>2</v>
      </c>
      <c r="C38" s="8"/>
      <c r="D38" s="9">
        <v>4</v>
      </c>
      <c r="E38" s="13">
        <f t="shared" si="0"/>
        <v>8</v>
      </c>
      <c r="F38" s="10" t="s">
        <v>5</v>
      </c>
      <c r="G38" s="10">
        <v>1</v>
      </c>
      <c r="H38" s="7"/>
      <c r="I38" s="7"/>
      <c r="J38" s="10">
        <v>1</v>
      </c>
      <c r="K38" s="10">
        <v>1</v>
      </c>
      <c r="L38" s="7" t="s">
        <v>187</v>
      </c>
      <c r="M38" s="38">
        <v>10</v>
      </c>
      <c r="N38" s="76"/>
      <c r="O38" s="39">
        <f t="shared" si="1"/>
        <v>0.66666666666666663</v>
      </c>
      <c r="P38" s="30">
        <f t="shared" si="2"/>
        <v>0</v>
      </c>
      <c r="Q38" s="39">
        <f t="shared" si="3"/>
        <v>0</v>
      </c>
      <c r="R38" s="39">
        <f>IF(F38="denně",Q38*G38*$B$64,IF(F38="týdně",Q38*G38*$B$65,IF(F38="měsíčně",Q38*G38*$B$66,IF(F38="čtvrtletně",Q38*G38*4*$B$67,IF(F38="ročně",Q38*G38*$B$67,G38*Q38*$B$67)))))*'Základní údaje'!$H$13*IF(K61=1,'Základní údaje'!$C$12,1)</f>
        <v>0</v>
      </c>
      <c r="S38" s="64"/>
    </row>
    <row r="39" spans="1:19" ht="31.15" customHeight="1" x14ac:dyDescent="0.25">
      <c r="A39" s="7" t="s">
        <v>90</v>
      </c>
      <c r="B39" s="8">
        <v>10</v>
      </c>
      <c r="C39" s="8"/>
      <c r="D39" s="9">
        <v>1</v>
      </c>
      <c r="E39" s="13">
        <f t="shared" si="0"/>
        <v>10</v>
      </c>
      <c r="F39" s="10" t="s">
        <v>5</v>
      </c>
      <c r="G39" s="10">
        <v>1</v>
      </c>
      <c r="H39" s="7"/>
      <c r="I39" s="7"/>
      <c r="J39" s="10">
        <v>1</v>
      </c>
      <c r="K39" s="10">
        <v>1</v>
      </c>
      <c r="L39" s="7" t="s">
        <v>192</v>
      </c>
      <c r="M39" s="38">
        <v>17</v>
      </c>
      <c r="N39" s="76"/>
      <c r="O39" s="39">
        <f t="shared" si="1"/>
        <v>0.28333333333333333</v>
      </c>
      <c r="P39" s="30">
        <f t="shared" si="2"/>
        <v>0</v>
      </c>
      <c r="Q39" s="39">
        <f t="shared" si="3"/>
        <v>0</v>
      </c>
      <c r="R39" s="39">
        <f>IF(F39="denně",Q39*G39*$B$64,IF(F39="týdně",Q39*G39*$B$65,IF(F39="měsíčně",Q39*G39*$B$66,IF(F39="čtvrtletně",Q39*G39*4*$B$67,IF(F39="ročně",Q39*G39*$B$67,G39*Q39*$B$67)))))*'Základní údaje'!$H$13*IF(K62=1,'Základní údaje'!$C$12,1)</f>
        <v>0</v>
      </c>
      <c r="S39" s="64"/>
    </row>
    <row r="40" spans="1:19" ht="31.15" customHeight="1" x14ac:dyDescent="0.25">
      <c r="A40" s="7" t="s">
        <v>91</v>
      </c>
      <c r="B40" s="8">
        <v>15</v>
      </c>
      <c r="C40" s="8"/>
      <c r="D40" s="9">
        <v>2</v>
      </c>
      <c r="E40" s="13">
        <f t="shared" si="0"/>
        <v>30</v>
      </c>
      <c r="F40" s="10" t="s">
        <v>5</v>
      </c>
      <c r="G40" s="10">
        <v>1</v>
      </c>
      <c r="H40" s="7"/>
      <c r="I40" s="7"/>
      <c r="J40" s="10">
        <v>1</v>
      </c>
      <c r="K40" s="10">
        <v>1</v>
      </c>
      <c r="L40" s="7" t="s">
        <v>192</v>
      </c>
      <c r="M40" s="38">
        <v>25</v>
      </c>
      <c r="N40" s="76"/>
      <c r="O40" s="39">
        <f t="shared" si="1"/>
        <v>0.83333333333333337</v>
      </c>
      <c r="P40" s="30">
        <f t="shared" si="2"/>
        <v>0</v>
      </c>
      <c r="Q40" s="39">
        <f t="shared" si="3"/>
        <v>0</v>
      </c>
      <c r="R40" s="39">
        <f>IF(F40="denně",Q40*G40*$B$64,IF(F40="týdně",Q40*G40*$B$65,IF(F40="měsíčně",Q40*G40*$B$66,IF(F40="čtvrtletně",Q40*G40*4*$B$67,IF(F40="ročně",Q40*G40*$B$67,G40*Q40*$B$67)))))*'Základní údaje'!$H$13*IF(K60=1,'Základní údaje'!$C$12,1)</f>
        <v>0</v>
      </c>
      <c r="S40" s="64"/>
    </row>
    <row r="41" spans="1:19" ht="31.15" customHeight="1" x14ac:dyDescent="0.25">
      <c r="A41" s="7" t="s">
        <v>92</v>
      </c>
      <c r="B41" s="8">
        <v>26</v>
      </c>
      <c r="C41" s="8"/>
      <c r="D41" s="9">
        <v>1</v>
      </c>
      <c r="E41" s="13">
        <v>0</v>
      </c>
      <c r="F41" s="10" t="s">
        <v>5</v>
      </c>
      <c r="G41" s="10">
        <v>1</v>
      </c>
      <c r="H41" s="7"/>
      <c r="I41" s="7"/>
      <c r="J41" s="10">
        <v>1</v>
      </c>
      <c r="K41" s="10">
        <v>1</v>
      </c>
      <c r="L41" s="7" t="s">
        <v>192</v>
      </c>
      <c r="M41" s="38">
        <v>43</v>
      </c>
      <c r="N41" s="76"/>
      <c r="O41" s="39">
        <f t="shared" si="1"/>
        <v>0.71666666666666667</v>
      </c>
      <c r="P41" s="30">
        <f t="shared" si="2"/>
        <v>0</v>
      </c>
      <c r="Q41" s="39">
        <f t="shared" si="3"/>
        <v>0</v>
      </c>
      <c r="R41" s="39">
        <f>IF(F41="denně",Q41*G41*$B$64,IF(F41="týdně",Q41*G41*$B$65,IF(F41="měsíčně",Q41*G41*$B$66,IF(F41="čtvrtletně",Q41*G41*4*$B$67,IF(F41="ročně",Q41*G41*$B$67,G41*Q41*$B$67)))))*'Základní údaje'!$H$13*IF(K61=1,'Základní údaje'!$C$12,1)</f>
        <v>0</v>
      </c>
      <c r="S41" s="64"/>
    </row>
    <row r="42" spans="1:19" ht="31.15" customHeight="1" x14ac:dyDescent="0.25">
      <c r="A42" s="7" t="s">
        <v>90</v>
      </c>
      <c r="B42" s="8">
        <v>10</v>
      </c>
      <c r="C42" s="8"/>
      <c r="D42" s="9">
        <v>1</v>
      </c>
      <c r="E42" s="13">
        <f t="shared" ref="E42:E43" si="16">B42*D42+C42*D42</f>
        <v>10</v>
      </c>
      <c r="F42" s="10" t="s">
        <v>5</v>
      </c>
      <c r="G42" s="10">
        <v>1</v>
      </c>
      <c r="H42" s="7"/>
      <c r="I42" s="7"/>
      <c r="J42" s="10">
        <v>1</v>
      </c>
      <c r="K42" s="10">
        <v>1</v>
      </c>
      <c r="L42" s="7" t="s">
        <v>194</v>
      </c>
      <c r="M42" s="38">
        <v>5</v>
      </c>
      <c r="N42" s="76"/>
      <c r="O42" s="39">
        <f t="shared" ref="O42:O46" si="17">IF(N42=0,M42*D42/60,N42*D42/60)</f>
        <v>8.3333333333333329E-2</v>
      </c>
      <c r="P42" s="30">
        <f t="shared" ref="P42:P46" si="18">ROUND(IF(N42=0,M42/60*$B$2,N42/60*$B$2),0)</f>
        <v>0</v>
      </c>
      <c r="Q42" s="39">
        <f t="shared" ref="Q42:Q46" si="19">P42*D42</f>
        <v>0</v>
      </c>
      <c r="R42" s="39">
        <f>IF(F42="denně",Q42*G42*$B$64,IF(F42="týdně",Q42*G42*$B$65,IF(F42="měsíčně",Q42*G42*$B$66,IF(F42="čtvrtletně",Q42*G42*4*$B$67,IF(F42="ročně",Q42*G42*$B$67,G42*Q42*$B$67)))))*'Základní údaje'!$H$13*IF(K61=1,'Základní údaje'!$C$12,1)</f>
        <v>0</v>
      </c>
      <c r="S42" s="64"/>
    </row>
    <row r="43" spans="1:19" ht="31.15" customHeight="1" x14ac:dyDescent="0.25">
      <c r="A43" s="7" t="s">
        <v>91</v>
      </c>
      <c r="B43" s="8">
        <v>15</v>
      </c>
      <c r="C43" s="8"/>
      <c r="D43" s="9">
        <v>2</v>
      </c>
      <c r="E43" s="13">
        <f t="shared" si="16"/>
        <v>30</v>
      </c>
      <c r="F43" s="10" t="s">
        <v>5</v>
      </c>
      <c r="G43" s="10">
        <v>1</v>
      </c>
      <c r="H43" s="7"/>
      <c r="I43" s="7"/>
      <c r="J43" s="10">
        <v>1</v>
      </c>
      <c r="K43" s="10">
        <v>1</v>
      </c>
      <c r="L43" s="7" t="s">
        <v>194</v>
      </c>
      <c r="M43" s="38">
        <v>10</v>
      </c>
      <c r="N43" s="76"/>
      <c r="O43" s="39">
        <f t="shared" si="17"/>
        <v>0.33333333333333331</v>
      </c>
      <c r="P43" s="30">
        <f t="shared" si="18"/>
        <v>0</v>
      </c>
      <c r="Q43" s="39">
        <f t="shared" si="19"/>
        <v>0</v>
      </c>
      <c r="R43" s="39">
        <f>IF(F43="denně",Q43*G43*$B$64,IF(F43="týdně",Q43*G43*$B$65,IF(F43="měsíčně",Q43*G43*$B$66,IF(F43="čtvrtletně",Q43*G43*4*$B$67,IF(F43="ročně",Q43*G43*$B$67,G43*Q43*$B$67)))))*'Základní údaje'!$H$13*IF(K63=1,'Základní údaje'!$C$12,1)</f>
        <v>0</v>
      </c>
      <c r="S43" s="64"/>
    </row>
    <row r="44" spans="1:19" ht="31.15" customHeight="1" x14ac:dyDescent="0.25">
      <c r="A44" s="7" t="s">
        <v>92</v>
      </c>
      <c r="B44" s="8">
        <v>26</v>
      </c>
      <c r="C44" s="8"/>
      <c r="D44" s="9">
        <v>1</v>
      </c>
      <c r="E44" s="13">
        <v>0</v>
      </c>
      <c r="F44" s="10" t="s">
        <v>5</v>
      </c>
      <c r="G44" s="10">
        <v>1</v>
      </c>
      <c r="H44" s="7"/>
      <c r="I44" s="7"/>
      <c r="J44" s="10">
        <v>1</v>
      </c>
      <c r="K44" s="10">
        <v>1</v>
      </c>
      <c r="L44" s="7" t="s">
        <v>194</v>
      </c>
      <c r="M44" s="38">
        <v>11</v>
      </c>
      <c r="N44" s="76"/>
      <c r="O44" s="39">
        <f t="shared" si="17"/>
        <v>0.18333333333333332</v>
      </c>
      <c r="P44" s="30">
        <f t="shared" si="18"/>
        <v>0</v>
      </c>
      <c r="Q44" s="39">
        <f t="shared" si="19"/>
        <v>0</v>
      </c>
      <c r="R44" s="39">
        <f>IF(F44="denně",Q44*G44*$B$64,IF(F44="týdně",Q44*G44*$B$65,IF(F44="měsíčně",Q44*G44*$B$66,IF(F44="čtvrtletně",Q44*G44*4*$B$67,IF(F44="ročně",Q44*G44*$B$67,G44*Q44*$B$67)))))*'Základní údaje'!$H$13*IF(K64=1,'Základní údaje'!$C$12,1)</f>
        <v>0</v>
      </c>
      <c r="S44" s="64"/>
    </row>
    <row r="45" spans="1:19" ht="31.15" customHeight="1" x14ac:dyDescent="0.25">
      <c r="A45" s="7" t="s">
        <v>221</v>
      </c>
      <c r="B45" s="8">
        <v>64</v>
      </c>
      <c r="C45" s="8"/>
      <c r="D45" s="9">
        <v>14</v>
      </c>
      <c r="E45" s="13">
        <f t="shared" ref="E45:E46" si="20">B45*D45+C45*D45</f>
        <v>896</v>
      </c>
      <c r="F45" s="10" t="s">
        <v>6</v>
      </c>
      <c r="G45" s="10">
        <v>1</v>
      </c>
      <c r="H45" s="7"/>
      <c r="I45" s="7"/>
      <c r="J45" s="10">
        <v>1</v>
      </c>
      <c r="K45" s="10">
        <v>0</v>
      </c>
      <c r="L45" s="7" t="s">
        <v>223</v>
      </c>
      <c r="M45" s="38">
        <v>20</v>
      </c>
      <c r="N45" s="76"/>
      <c r="O45" s="39">
        <f t="shared" si="17"/>
        <v>4.666666666666667</v>
      </c>
      <c r="P45" s="30">
        <f t="shared" si="18"/>
        <v>0</v>
      </c>
      <c r="Q45" s="39">
        <f t="shared" si="19"/>
        <v>0</v>
      </c>
      <c r="R45" s="39">
        <f>IF(F45="denně",Q45*G45*$B$64,IF(F45="týdně",Q45*G45*$B$65,IF(F45="měsíčně",Q45*G45*$B$66,IF(F45="čtvrtletně",Q45*G45*4*$B$67,IF(F45="ročně",Q45*G45*$B$67,G45*Q45*$B$67)))))*'Základní údaje'!$H$13*IF(K65=1,'Základní údaje'!$C$12,1)</f>
        <v>0</v>
      </c>
      <c r="S45" s="64"/>
    </row>
    <row r="46" spans="1:19" ht="31.15" customHeight="1" x14ac:dyDescent="0.25">
      <c r="A46" s="7" t="s">
        <v>224</v>
      </c>
      <c r="B46" s="8">
        <v>4</v>
      </c>
      <c r="C46" s="8"/>
      <c r="D46" s="9">
        <v>13</v>
      </c>
      <c r="E46" s="13">
        <f t="shared" si="20"/>
        <v>52</v>
      </c>
      <c r="F46" s="10" t="s">
        <v>6</v>
      </c>
      <c r="G46" s="10">
        <v>1</v>
      </c>
      <c r="H46" s="7"/>
      <c r="I46" s="7"/>
      <c r="J46" s="10">
        <v>1</v>
      </c>
      <c r="K46" s="10">
        <v>0</v>
      </c>
      <c r="L46" s="7" t="s">
        <v>223</v>
      </c>
      <c r="M46" s="38">
        <v>5</v>
      </c>
      <c r="N46" s="76"/>
      <c r="O46" s="39">
        <f t="shared" si="17"/>
        <v>1.0833333333333333</v>
      </c>
      <c r="P46" s="30">
        <f t="shared" si="18"/>
        <v>0</v>
      </c>
      <c r="Q46" s="39">
        <f t="shared" si="19"/>
        <v>0</v>
      </c>
      <c r="R46" s="39">
        <f>IF(F46="denně",Q46*G46*$B$64,IF(F46="týdně",Q46*G46*$B$65,IF(F46="měsíčně",Q46*G46*$B$66,IF(F46="čtvrtletně",Q46*G46*4*$B$67,IF(F46="ročně",Q46*G46*$B$67,G46*Q46*$B$67)))))*'Základní údaje'!$H$13*IF(K66=1,'Základní údaje'!$C$12,1)</f>
        <v>0</v>
      </c>
      <c r="S46" s="64"/>
    </row>
    <row r="47" spans="1:19" ht="31.15" customHeight="1" x14ac:dyDescent="0.25">
      <c r="A47" s="7" t="s">
        <v>43</v>
      </c>
      <c r="B47" s="8">
        <v>23</v>
      </c>
      <c r="C47" s="8"/>
      <c r="D47" s="9">
        <v>1</v>
      </c>
      <c r="E47" s="13">
        <f t="shared" ref="E47:E60" si="21">B47*D47+C47*D47</f>
        <v>23</v>
      </c>
      <c r="F47" s="10" t="s">
        <v>6</v>
      </c>
      <c r="G47" s="10">
        <v>1</v>
      </c>
      <c r="H47" s="7"/>
      <c r="I47" s="7"/>
      <c r="J47" s="10">
        <v>1</v>
      </c>
      <c r="K47" s="10">
        <v>0</v>
      </c>
      <c r="L47" s="7" t="s">
        <v>184</v>
      </c>
      <c r="M47" s="38">
        <v>6</v>
      </c>
      <c r="N47" s="76"/>
      <c r="O47" s="39">
        <f t="shared" ref="O47:O60" si="22">IF(N47=0,M47*D47/60,N47*D47/60)</f>
        <v>0.1</v>
      </c>
      <c r="P47" s="30">
        <f t="shared" ref="P47:P60" si="23">ROUND(IF(N47=0,M47/60*$B$2,N47/60*$B$2),0)</f>
        <v>0</v>
      </c>
      <c r="Q47" s="39">
        <f t="shared" ref="Q47:Q60" si="24">P47*D47</f>
        <v>0</v>
      </c>
      <c r="R47" s="39">
        <f>IF(F47="denně",Q47*G47*$B$64,IF(F47="týdně",Q47*G47*$B$65,IF(F47="měsíčně",Q47*G47*$B$66,IF(F47="čtvrtletně",Q47*G47*4*$B$67,IF(F47="ročně",Q47*G47*$B$67,G47*Q47*$B$67)))))*'Základní údaje'!$H$13*IF(K63=1,'Základní údaje'!$C$12,1)</f>
        <v>0</v>
      </c>
      <c r="S47" s="64"/>
    </row>
    <row r="48" spans="1:19" ht="31.15" customHeight="1" x14ac:dyDescent="0.25">
      <c r="A48" s="7" t="s">
        <v>45</v>
      </c>
      <c r="B48" s="8">
        <v>30</v>
      </c>
      <c r="C48" s="8"/>
      <c r="D48" s="9">
        <v>1</v>
      </c>
      <c r="E48" s="13">
        <f t="shared" si="21"/>
        <v>30</v>
      </c>
      <c r="F48" s="10" t="s">
        <v>6</v>
      </c>
      <c r="G48" s="10">
        <v>1</v>
      </c>
      <c r="H48" s="7"/>
      <c r="I48" s="7"/>
      <c r="J48" s="10">
        <v>1</v>
      </c>
      <c r="K48" s="10">
        <v>0</v>
      </c>
      <c r="L48" s="7" t="s">
        <v>184</v>
      </c>
      <c r="M48" s="38">
        <v>8</v>
      </c>
      <c r="N48" s="76"/>
      <c r="O48" s="39">
        <f t="shared" si="22"/>
        <v>0.13333333333333333</v>
      </c>
      <c r="P48" s="30">
        <f t="shared" si="23"/>
        <v>0</v>
      </c>
      <c r="Q48" s="39">
        <f t="shared" si="24"/>
        <v>0</v>
      </c>
      <c r="R48" s="39">
        <f>IF(F48="denně",Q48*G48*$B$64,IF(F48="týdně",Q48*G48*$B$65,IF(F48="měsíčně",Q48*G48*$B$66,IF(F48="čtvrtletně",Q48*G48*4*$B$67,IF(F48="ročně",Q48*G48*$B$67,G48*Q48*$B$67)))))*'Základní údaje'!$H$13*IF(K64=1,'Základní údaje'!$C$12,1)</f>
        <v>0</v>
      </c>
      <c r="S48" s="64"/>
    </row>
    <row r="49" spans="1:19" ht="31.15" customHeight="1" x14ac:dyDescent="0.25">
      <c r="A49" s="7" t="s">
        <v>112</v>
      </c>
      <c r="B49" s="8"/>
      <c r="C49" s="8">
        <v>1</v>
      </c>
      <c r="D49" s="9">
        <f>108+115+40+8+13+39</f>
        <v>323</v>
      </c>
      <c r="E49" s="13">
        <f>B49*D49+C49*D49</f>
        <v>323</v>
      </c>
      <c r="F49" s="10" t="s">
        <v>8</v>
      </c>
      <c r="G49" s="10">
        <v>1</v>
      </c>
      <c r="H49" s="7"/>
      <c r="I49" s="7"/>
      <c r="J49" s="10">
        <v>1</v>
      </c>
      <c r="K49" s="10">
        <v>0</v>
      </c>
      <c r="L49" s="7" t="s">
        <v>191</v>
      </c>
      <c r="M49" s="38">
        <v>20</v>
      </c>
      <c r="N49" s="76"/>
      <c r="O49" s="39">
        <f>IF(N49=0,M49*D49/60,N49*D49/60)</f>
        <v>107.66666666666667</v>
      </c>
      <c r="P49" s="30">
        <f>ROUND(IF(N49=0,M49/60*$B$2,N49/60*$B$2),0)</f>
        <v>0</v>
      </c>
      <c r="Q49" s="39">
        <f>P49*D49</f>
        <v>0</v>
      </c>
      <c r="R49" s="39">
        <f>IF(F49="denně",Q49*G49*$B$64,IF(F49="týdně",Q49*G49*$B$65,IF(F49="měsíčně",Q49*G49*$B$66,IF(F49="čtvrtletně",Q49*G49*4*$B$67,IF(F49="ročně",Q49*G49*$B$67,G49*Q49*$B$67)))))*'Základní údaje'!$H$13*IF(K71=1,'Základní údaje'!$C$12,1)</f>
        <v>0</v>
      </c>
      <c r="S49" s="64"/>
    </row>
    <row r="50" spans="1:19" ht="31.15" customHeight="1" x14ac:dyDescent="0.25">
      <c r="A50" s="7" t="s">
        <v>206</v>
      </c>
      <c r="B50" s="8">
        <v>12</v>
      </c>
      <c r="C50" s="8"/>
      <c r="D50" s="9">
        <v>5</v>
      </c>
      <c r="E50" s="13">
        <f t="shared" si="21"/>
        <v>60</v>
      </c>
      <c r="F50" s="10" t="s">
        <v>29</v>
      </c>
      <c r="G50" s="10">
        <v>2</v>
      </c>
      <c r="H50" s="7">
        <v>26</v>
      </c>
      <c r="I50" s="7">
        <v>37</v>
      </c>
      <c r="J50" s="10">
        <v>1</v>
      </c>
      <c r="K50" s="10">
        <v>0</v>
      </c>
      <c r="L50" s="7" t="s">
        <v>197</v>
      </c>
      <c r="M50" s="38">
        <v>20</v>
      </c>
      <c r="N50" s="76"/>
      <c r="O50" s="39">
        <f t="shared" si="22"/>
        <v>1.6666666666666667</v>
      </c>
      <c r="P50" s="30">
        <f t="shared" si="23"/>
        <v>0</v>
      </c>
      <c r="Q50" s="39">
        <f t="shared" si="24"/>
        <v>0</v>
      </c>
      <c r="R50" s="39">
        <f>IF(F50="denně",Q50*G50*$B$64,IF(F50="týdně",Q50*G50*$B$65,IF(F50="měsíčně",Q50*G50*$B$66,IF(F50="čtvrtletně",Q50*G50*4*$B$67,IF(F50="ročně",Q50*G50*$B$67,G50*Q50*$B$67)))))*'Základní údaje'!$H$13*IF(K65=1,'Základní údaje'!$C$12,1)</f>
        <v>0</v>
      </c>
      <c r="S50" s="64"/>
    </row>
    <row r="51" spans="1:19" ht="31.15" customHeight="1" x14ac:dyDescent="0.25">
      <c r="A51" s="7" t="s">
        <v>207</v>
      </c>
      <c r="B51" s="8">
        <v>15</v>
      </c>
      <c r="C51" s="8"/>
      <c r="D51" s="9">
        <v>38</v>
      </c>
      <c r="E51" s="13">
        <f t="shared" si="21"/>
        <v>570</v>
      </c>
      <c r="F51" s="10" t="s">
        <v>29</v>
      </c>
      <c r="G51" s="10">
        <v>2</v>
      </c>
      <c r="H51" s="7">
        <v>26</v>
      </c>
      <c r="I51" s="7">
        <v>37</v>
      </c>
      <c r="J51" s="10">
        <v>1</v>
      </c>
      <c r="K51" s="10">
        <v>0</v>
      </c>
      <c r="L51" s="7" t="s">
        <v>197</v>
      </c>
      <c r="M51" s="38">
        <v>25</v>
      </c>
      <c r="N51" s="76"/>
      <c r="O51" s="39">
        <f t="shared" si="22"/>
        <v>15.833333333333334</v>
      </c>
      <c r="P51" s="30">
        <f t="shared" si="23"/>
        <v>0</v>
      </c>
      <c r="Q51" s="39">
        <f t="shared" si="24"/>
        <v>0</v>
      </c>
      <c r="R51" s="39">
        <f>IF(F51="denně",Q51*G51*$B$64,IF(F51="týdně",Q51*G51*$B$65,IF(F51="měsíčně",Q51*G51*$B$66,IF(F51="čtvrtletně",Q51*G51*4*$B$67,IF(F51="ročně",Q51*G51*$B$67,G51*Q51*$B$67)))))*'Základní údaje'!$H$13*IF(K66=1,'Základní údaje'!$C$12,1)</f>
        <v>0</v>
      </c>
      <c r="S51" s="64"/>
    </row>
    <row r="52" spans="1:19" ht="31.15" customHeight="1" x14ac:dyDescent="0.25">
      <c r="A52" s="7" t="s">
        <v>208</v>
      </c>
      <c r="B52" s="8">
        <v>23</v>
      </c>
      <c r="C52" s="8"/>
      <c r="D52" s="9">
        <v>37</v>
      </c>
      <c r="E52" s="13">
        <f t="shared" si="21"/>
        <v>851</v>
      </c>
      <c r="F52" s="10" t="s">
        <v>29</v>
      </c>
      <c r="G52" s="10">
        <v>2</v>
      </c>
      <c r="H52" s="7">
        <v>26</v>
      </c>
      <c r="I52" s="7">
        <v>37</v>
      </c>
      <c r="J52" s="10">
        <v>1</v>
      </c>
      <c r="K52" s="10">
        <v>0</v>
      </c>
      <c r="L52" s="7" t="s">
        <v>197</v>
      </c>
      <c r="M52" s="38">
        <v>38</v>
      </c>
      <c r="N52" s="76"/>
      <c r="O52" s="39">
        <f>IF(N52=0,M52*D52/60,N52*D52/60)</f>
        <v>23.433333333333334</v>
      </c>
      <c r="P52" s="30">
        <f>ROUND(IF(N52=0,M52/60*$B$2,N52/60*$B$2),0)</f>
        <v>0</v>
      </c>
      <c r="Q52" s="39">
        <f t="shared" si="24"/>
        <v>0</v>
      </c>
      <c r="R52" s="39">
        <f>IF(F52="denně",Q52*G52*$B$64,IF(F52="týdně",Q52*G52*$B$65,IF(F52="měsíčně",Q52*G52*$B$66,IF(F52="čtvrtletně",Q52*G52*4*$B$67,IF(F52="ročně",Q52*G52*$B$67,G52*Q52*$B$67)))))*'Základní údaje'!$H$13*IF(K67=1,'Základní údaje'!$C$12,1)</f>
        <v>0</v>
      </c>
      <c r="S52" s="64"/>
    </row>
    <row r="53" spans="1:19" ht="31.15" customHeight="1" x14ac:dyDescent="0.25">
      <c r="A53" s="7" t="s">
        <v>210</v>
      </c>
      <c r="B53" s="8">
        <v>6</v>
      </c>
      <c r="C53" s="8"/>
      <c r="D53" s="9">
        <v>38</v>
      </c>
      <c r="E53" s="13">
        <f t="shared" si="21"/>
        <v>228</v>
      </c>
      <c r="F53" s="10" t="s">
        <v>29</v>
      </c>
      <c r="G53" s="10">
        <v>2</v>
      </c>
      <c r="H53" s="7">
        <v>26</v>
      </c>
      <c r="I53" s="7">
        <v>37</v>
      </c>
      <c r="J53" s="10">
        <v>1</v>
      </c>
      <c r="K53" s="10">
        <v>0</v>
      </c>
      <c r="L53" s="7" t="s">
        <v>189</v>
      </c>
      <c r="M53" s="38">
        <v>30</v>
      </c>
      <c r="N53" s="76"/>
      <c r="O53" s="39">
        <f t="shared" si="22"/>
        <v>19</v>
      </c>
      <c r="P53" s="30">
        <f t="shared" si="23"/>
        <v>0</v>
      </c>
      <c r="Q53" s="39">
        <f t="shared" si="24"/>
        <v>0</v>
      </c>
      <c r="R53" s="39">
        <f>IF(F53="denně",Q53*G53*$B$64,IF(F53="týdně",Q53*G53*$B$65,IF(F53="měsíčně",Q53*G53*$B$66,IF(F53="čtvrtletně",Q53*G53*4*$B$67,IF(F53="ročně",Q53*G53*$B$67,G53*Q53*$B$67)))))*'Základní údaje'!$H$13*IF(K68=1,'Základní údaje'!$C$12,1)</f>
        <v>0</v>
      </c>
      <c r="S53" s="64"/>
    </row>
    <row r="54" spans="1:19" ht="31.15" customHeight="1" x14ac:dyDescent="0.25">
      <c r="A54" s="7" t="s">
        <v>46</v>
      </c>
      <c r="B54" s="8">
        <v>2</v>
      </c>
      <c r="C54" s="8"/>
      <c r="D54" s="9">
        <v>38</v>
      </c>
      <c r="E54" s="13">
        <f t="shared" si="21"/>
        <v>76</v>
      </c>
      <c r="F54" s="10" t="s">
        <v>29</v>
      </c>
      <c r="G54" s="10">
        <v>2</v>
      </c>
      <c r="H54" s="7">
        <v>26</v>
      </c>
      <c r="I54" s="7">
        <v>37</v>
      </c>
      <c r="J54" s="10">
        <v>1</v>
      </c>
      <c r="K54" s="10">
        <v>0</v>
      </c>
      <c r="L54" s="7" t="s">
        <v>193</v>
      </c>
      <c r="M54" s="38">
        <v>7</v>
      </c>
      <c r="N54" s="76"/>
      <c r="O54" s="39">
        <f t="shared" si="22"/>
        <v>4.4333333333333336</v>
      </c>
      <c r="P54" s="30">
        <f t="shared" si="23"/>
        <v>0</v>
      </c>
      <c r="Q54" s="39">
        <f t="shared" si="24"/>
        <v>0</v>
      </c>
      <c r="R54" s="39">
        <f>IF(F54="denně",Q54*G54*$B$64,IF(F54="týdně",Q54*G54*$B$65,IF(F54="měsíčně",Q54*G54*$B$66,IF(F54="čtvrtletně",Q54*G54*4*$B$67,IF(F54="ročně",Q54*G54*$B$67,G54*Q54*$B$67)))))*'Základní údaje'!$H$13*IF(K69=1,'Základní údaje'!$C$12,1)</f>
        <v>0</v>
      </c>
      <c r="S54" s="64"/>
    </row>
    <row r="55" spans="1:19" ht="31.15" customHeight="1" x14ac:dyDescent="0.25">
      <c r="A55" s="7" t="s">
        <v>109</v>
      </c>
      <c r="B55" s="8"/>
      <c r="C55" s="8">
        <v>1</v>
      </c>
      <c r="D55" s="9">
        <v>38</v>
      </c>
      <c r="E55" s="13">
        <f t="shared" si="21"/>
        <v>38</v>
      </c>
      <c r="F55" s="10" t="s">
        <v>29</v>
      </c>
      <c r="G55" s="10">
        <v>2</v>
      </c>
      <c r="H55" s="7">
        <v>26</v>
      </c>
      <c r="I55" s="7">
        <v>37</v>
      </c>
      <c r="J55" s="10">
        <v>1</v>
      </c>
      <c r="K55" s="10">
        <v>0</v>
      </c>
      <c r="L55" s="7" t="s">
        <v>187</v>
      </c>
      <c r="M55" s="38">
        <v>8</v>
      </c>
      <c r="N55" s="76"/>
      <c r="O55" s="39">
        <f t="shared" si="22"/>
        <v>5.0666666666666664</v>
      </c>
      <c r="P55" s="30">
        <f t="shared" si="23"/>
        <v>0</v>
      </c>
      <c r="Q55" s="39">
        <f t="shared" si="24"/>
        <v>0</v>
      </c>
      <c r="R55" s="39">
        <f>IF(F55="denně",Q55*G55*$B$64,IF(F55="týdně",Q55*G55*$B$65,IF(F55="měsíčně",Q55*G55*$B$66,IF(F55="čtvrtletně",Q55*G55*4*$B$67,IF(F55="ročně",Q55*G55*$B$67,G55*Q55*$B$67)))))*'Základní údaje'!$H$13*IF(K70=1,'Základní údaje'!$C$12,1)</f>
        <v>0</v>
      </c>
      <c r="S55" s="64"/>
    </row>
    <row r="56" spans="1:19" ht="31.15" customHeight="1" x14ac:dyDescent="0.25">
      <c r="A56" s="7" t="s">
        <v>47</v>
      </c>
      <c r="B56" s="8">
        <v>10</v>
      </c>
      <c r="C56" s="8"/>
      <c r="D56" s="9">
        <v>12</v>
      </c>
      <c r="E56" s="13">
        <f t="shared" si="21"/>
        <v>120</v>
      </c>
      <c r="F56" s="10" t="s">
        <v>29</v>
      </c>
      <c r="G56" s="10">
        <v>2</v>
      </c>
      <c r="H56" s="7">
        <v>26</v>
      </c>
      <c r="I56" s="7">
        <v>37</v>
      </c>
      <c r="J56" s="10">
        <v>1</v>
      </c>
      <c r="K56" s="10">
        <v>0</v>
      </c>
      <c r="L56" s="7" t="s">
        <v>195</v>
      </c>
      <c r="M56" s="38">
        <v>33</v>
      </c>
      <c r="N56" s="76"/>
      <c r="O56" s="39">
        <f t="shared" si="22"/>
        <v>6.6</v>
      </c>
      <c r="P56" s="30">
        <f t="shared" si="23"/>
        <v>0</v>
      </c>
      <c r="Q56" s="39">
        <f t="shared" si="24"/>
        <v>0</v>
      </c>
      <c r="R56" s="39">
        <f>IF(F56="denně",Q56*G56*$B$64,IF(F56="týdně",Q56*G56*$B$65,IF(F56="měsíčně",Q56*G56*$B$66,IF(F56="čtvrtletně",Q56*G56*4*$B$67,IF(F56="ročně",Q56*G56*$B$67,G56*Q56*$B$67)))))*'Základní údaje'!$H$13*IF(K72=1,'Základní údaje'!$C$12,1)</f>
        <v>0</v>
      </c>
      <c r="S56" s="64"/>
    </row>
    <row r="57" spans="1:19" ht="31.15" customHeight="1" x14ac:dyDescent="0.25">
      <c r="A57" s="7" t="s">
        <v>48</v>
      </c>
      <c r="B57" s="8">
        <v>15</v>
      </c>
      <c r="C57" s="8"/>
      <c r="D57" s="9">
        <v>53</v>
      </c>
      <c r="E57" s="13">
        <f t="shared" si="21"/>
        <v>795</v>
      </c>
      <c r="F57" s="10" t="s">
        <v>29</v>
      </c>
      <c r="G57" s="10">
        <v>2</v>
      </c>
      <c r="H57" s="7">
        <v>26</v>
      </c>
      <c r="I57" s="7">
        <v>37</v>
      </c>
      <c r="J57" s="10">
        <v>1</v>
      </c>
      <c r="K57" s="10">
        <v>0</v>
      </c>
      <c r="L57" s="7" t="s">
        <v>195</v>
      </c>
      <c r="M57" s="38">
        <v>50</v>
      </c>
      <c r="N57" s="76"/>
      <c r="O57" s="39">
        <f t="shared" si="22"/>
        <v>44.166666666666664</v>
      </c>
      <c r="P57" s="30">
        <f t="shared" si="23"/>
        <v>0</v>
      </c>
      <c r="Q57" s="39">
        <f t="shared" si="24"/>
        <v>0</v>
      </c>
      <c r="R57" s="39">
        <f>IF(F57="denně",Q57*G57*$B$64,IF(F57="týdně",Q57*G57*$B$65,IF(F57="měsíčně",Q57*G57*$B$66,IF(F57="čtvrtletně",Q57*G57*4*$B$67,IF(F57="ročně",Q57*G57*$B$67,G57*Q57*$B$67)))))*'Základní údaje'!$H$13*IF(K73=1,'Základní údaje'!$C$12,1)</f>
        <v>0</v>
      </c>
      <c r="S57" s="64"/>
    </row>
    <row r="58" spans="1:19" ht="31.15" customHeight="1" x14ac:dyDescent="0.25">
      <c r="A58" s="7" t="s">
        <v>49</v>
      </c>
      <c r="B58" s="8">
        <v>26</v>
      </c>
      <c r="C58" s="8"/>
      <c r="D58" s="9">
        <v>6</v>
      </c>
      <c r="E58" s="13">
        <f t="shared" si="21"/>
        <v>156</v>
      </c>
      <c r="F58" s="10" t="s">
        <v>29</v>
      </c>
      <c r="G58" s="10">
        <v>2</v>
      </c>
      <c r="H58" s="7">
        <v>26</v>
      </c>
      <c r="I58" s="7">
        <v>37</v>
      </c>
      <c r="J58" s="10">
        <v>1</v>
      </c>
      <c r="K58" s="10">
        <v>0</v>
      </c>
      <c r="L58" s="7" t="s">
        <v>195</v>
      </c>
      <c r="M58" s="38">
        <v>87</v>
      </c>
      <c r="N58" s="76"/>
      <c r="O58" s="39">
        <f t="shared" si="22"/>
        <v>8.6999999999999993</v>
      </c>
      <c r="P58" s="30">
        <f t="shared" si="23"/>
        <v>0</v>
      </c>
      <c r="Q58" s="39">
        <f t="shared" si="24"/>
        <v>0</v>
      </c>
      <c r="R58" s="39">
        <f>IF(F58="denně",Q58*G58*$B$64,IF(F58="týdně",Q58*G58*$B$65,IF(F58="měsíčně",Q58*G58*$B$66,IF(F58="čtvrtletně",Q58*G58*4*$B$67,IF(F58="ročně",Q58*G58*$B$67,G58*Q58*$B$67)))))*'Základní údaje'!$H$13*IF(K74=1,'Základní údaje'!$C$12,1)</f>
        <v>0</v>
      </c>
      <c r="S58" s="64"/>
    </row>
    <row r="59" spans="1:19" ht="31.15" customHeight="1" x14ac:dyDescent="0.25">
      <c r="A59" s="7" t="s">
        <v>110</v>
      </c>
      <c r="B59" s="8"/>
      <c r="C59" s="8">
        <v>1</v>
      </c>
      <c r="D59" s="9">
        <v>173</v>
      </c>
      <c r="E59" s="13">
        <f t="shared" si="21"/>
        <v>173</v>
      </c>
      <c r="F59" s="10" t="s">
        <v>29</v>
      </c>
      <c r="G59" s="10">
        <v>2</v>
      </c>
      <c r="H59" s="7">
        <v>26</v>
      </c>
      <c r="I59" s="7">
        <v>37</v>
      </c>
      <c r="J59" s="10">
        <v>1</v>
      </c>
      <c r="K59" s="10">
        <v>0</v>
      </c>
      <c r="L59" s="7" t="s">
        <v>196</v>
      </c>
      <c r="M59" s="38">
        <v>6</v>
      </c>
      <c r="N59" s="76"/>
      <c r="O59" s="39">
        <f t="shared" si="22"/>
        <v>17.3</v>
      </c>
      <c r="P59" s="30">
        <f t="shared" si="23"/>
        <v>0</v>
      </c>
      <c r="Q59" s="39">
        <f t="shared" si="24"/>
        <v>0</v>
      </c>
      <c r="R59" s="39">
        <f>IF(F59="denně",Q59*G59*$B$64,IF(F59="týdně",Q59*G59*$B$65,IF(F59="měsíčně",Q59*G59*$B$66,IF(F59="čtvrtletně",Q59*G59*4*$B$67,IF(F59="ročně",Q59*G59*$B$67,G59*Q59*$B$67)))))*'Základní údaje'!$H$13*IF(K75=1,'Základní údaje'!$C$12,1)</f>
        <v>0</v>
      </c>
      <c r="S59" s="64"/>
    </row>
    <row r="60" spans="1:19" ht="30" x14ac:dyDescent="0.25">
      <c r="A60" s="7" t="s">
        <v>50</v>
      </c>
      <c r="B60" s="8">
        <v>77</v>
      </c>
      <c r="C60" s="8"/>
      <c r="D60" s="9">
        <v>1</v>
      </c>
      <c r="E60" s="13">
        <f t="shared" si="21"/>
        <v>77</v>
      </c>
      <c r="F60" s="10" t="s">
        <v>29</v>
      </c>
      <c r="G60" s="10">
        <f>(I60-H60+1)*2</f>
        <v>60</v>
      </c>
      <c r="H60" s="7">
        <v>12</v>
      </c>
      <c r="I60" s="7">
        <v>41</v>
      </c>
      <c r="J60" s="10">
        <v>1</v>
      </c>
      <c r="K60" s="10"/>
      <c r="L60" s="7" t="s">
        <v>105</v>
      </c>
      <c r="M60" s="38">
        <v>40</v>
      </c>
      <c r="N60" s="76"/>
      <c r="O60" s="39">
        <f t="shared" si="22"/>
        <v>0.66666666666666663</v>
      </c>
      <c r="P60" s="30">
        <f t="shared" si="23"/>
        <v>0</v>
      </c>
      <c r="Q60" s="39">
        <f t="shared" si="24"/>
        <v>0</v>
      </c>
      <c r="R60" s="39">
        <f>IF(F60="denně",Q60*G60*$B$64,IF(F60="týdně",Q60*G60*$B$65,IF(F60="měsíčně",Q60*G60*$B$66,IF(F60="čtvrtletně",Q60*G60*4*$B$67,IF(F60="ročně",Q60*G60*$B$67,G60*Q60*$B$67)))))*'Základní údaje'!$H$13*IF(K79=1,'Základní údaje'!$C$12,1)</f>
        <v>0</v>
      </c>
      <c r="S60" s="64"/>
    </row>
    <row r="61" spans="1:19" x14ac:dyDescent="0.25">
      <c r="M61" s="14"/>
      <c r="N61" s="14"/>
      <c r="O61" s="15"/>
      <c r="P61" s="15"/>
      <c r="Q61" s="15"/>
      <c r="R61" s="15"/>
    </row>
    <row r="62" spans="1:19" hidden="1" x14ac:dyDescent="0.25">
      <c r="A62" s="16" t="s">
        <v>30</v>
      </c>
      <c r="B62" s="17">
        <f>SUMPRODUCT(B4:B60,D4:D60)</f>
        <v>6406</v>
      </c>
      <c r="C62" s="16" t="s">
        <v>31</v>
      </c>
    </row>
    <row r="63" spans="1:19" hidden="1" x14ac:dyDescent="0.25">
      <c r="A63" s="16" t="s">
        <v>68</v>
      </c>
      <c r="B63" s="19">
        <f>SUMPRODUCT(C4:C60,D4:D60)</f>
        <v>575</v>
      </c>
      <c r="C63" s="16" t="s">
        <v>69</v>
      </c>
    </row>
    <row r="64" spans="1:19" hidden="1" x14ac:dyDescent="0.25">
      <c r="A64" s="2" t="s">
        <v>72</v>
      </c>
      <c r="B64" s="2">
        <f>NETWORKDAYS($C$1,$D$1,$A$74:$A$140)</f>
        <v>1018</v>
      </c>
      <c r="J64" s="20"/>
      <c r="K64" s="20"/>
    </row>
    <row r="65" spans="1:10" hidden="1" x14ac:dyDescent="0.25">
      <c r="A65" s="2" t="s">
        <v>71</v>
      </c>
      <c r="B65" s="2">
        <f>B67*52</f>
        <v>208</v>
      </c>
      <c r="J65" s="20"/>
    </row>
    <row r="66" spans="1:10" hidden="1" x14ac:dyDescent="0.25">
      <c r="A66" s="2" t="s">
        <v>73</v>
      </c>
      <c r="B66" s="2">
        <f>B67*12</f>
        <v>48</v>
      </c>
      <c r="J66" s="20"/>
    </row>
    <row r="67" spans="1:10" hidden="1" x14ac:dyDescent="0.25">
      <c r="A67" s="2" t="s">
        <v>74</v>
      </c>
      <c r="B67" s="2">
        <f>YEAR(D1)-YEAR(C1)</f>
        <v>4</v>
      </c>
    </row>
    <row r="68" spans="1:10" ht="23.25" hidden="1" x14ac:dyDescent="0.25">
      <c r="A68" s="26" t="s">
        <v>75</v>
      </c>
      <c r="B68" s="191">
        <f>ROUND(SUM(R4:R60),0)</f>
        <v>0</v>
      </c>
      <c r="C68" s="192"/>
      <c r="D68" s="192"/>
      <c r="E68" s="29" t="s">
        <v>77</v>
      </c>
    </row>
    <row r="69" spans="1:10" hidden="1" x14ac:dyDescent="0.25"/>
    <row r="70" spans="1:10" hidden="1" x14ac:dyDescent="0.25"/>
    <row r="71" spans="1:10" hidden="1" x14ac:dyDescent="0.25"/>
    <row r="72" spans="1:10" hidden="1" x14ac:dyDescent="0.25"/>
    <row r="73" spans="1:10" ht="30" hidden="1" x14ac:dyDescent="0.25">
      <c r="A73" s="6" t="s">
        <v>70</v>
      </c>
      <c r="B73" s="6" t="s">
        <v>0</v>
      </c>
      <c r="C73" s="6" t="s">
        <v>9</v>
      </c>
      <c r="D73" s="6" t="s">
        <v>10</v>
      </c>
      <c r="E73" s="6"/>
      <c r="F73" s="6"/>
      <c r="G73" s="6" t="s">
        <v>28</v>
      </c>
    </row>
    <row r="74" spans="1:10" hidden="1" x14ac:dyDescent="0.25">
      <c r="A74" s="21">
        <v>46874</v>
      </c>
      <c r="B74" s="4" t="s">
        <v>4</v>
      </c>
      <c r="C74" s="4">
        <v>0</v>
      </c>
      <c r="D74" s="18" t="s">
        <v>11</v>
      </c>
      <c r="E74" s="21"/>
      <c r="F74" s="4"/>
      <c r="G74" s="18" t="str">
        <f>$F$3</f>
        <v>uklízí se</v>
      </c>
    </row>
    <row r="75" spans="1:10" hidden="1" x14ac:dyDescent="0.25">
      <c r="A75" s="21">
        <v>46881</v>
      </c>
      <c r="B75" s="4" t="s">
        <v>5</v>
      </c>
      <c r="C75" s="4">
        <v>1</v>
      </c>
      <c r="D75" s="18" t="s">
        <v>12</v>
      </c>
      <c r="E75" s="4"/>
      <c r="F75" s="4"/>
      <c r="G75" s="18" t="str">
        <f>B74</f>
        <v>denně</v>
      </c>
    </row>
    <row r="76" spans="1:10" hidden="1" x14ac:dyDescent="0.25">
      <c r="A76" s="21">
        <v>46939</v>
      </c>
      <c r="B76" s="4" t="s">
        <v>6</v>
      </c>
      <c r="C76" s="4"/>
      <c r="D76" s="18" t="s">
        <v>13</v>
      </c>
      <c r="E76" s="4"/>
      <c r="F76" s="4"/>
      <c r="G76" s="18"/>
    </row>
    <row r="77" spans="1:10" hidden="1" x14ac:dyDescent="0.25">
      <c r="A77" s="21">
        <v>46940</v>
      </c>
      <c r="B77" s="4" t="s">
        <v>7</v>
      </c>
      <c r="C77" s="4"/>
      <c r="D77" s="18" t="s">
        <v>14</v>
      </c>
      <c r="E77" s="4"/>
      <c r="F77" s="4"/>
      <c r="G77" s="18" t="str">
        <f>$F$3</f>
        <v>uklízí se</v>
      </c>
    </row>
    <row r="78" spans="1:10" hidden="1" x14ac:dyDescent="0.25">
      <c r="A78" s="21">
        <v>47024</v>
      </c>
      <c r="B78" s="4" t="s">
        <v>8</v>
      </c>
      <c r="C78" s="4"/>
      <c r="D78" s="18" t="s">
        <v>15</v>
      </c>
      <c r="E78" s="4"/>
      <c r="F78" s="4"/>
      <c r="G78" s="18" t="str">
        <f>B75</f>
        <v>týdně</v>
      </c>
    </row>
    <row r="79" spans="1:10" hidden="1" x14ac:dyDescent="0.25">
      <c r="A79" s="21">
        <v>47054</v>
      </c>
      <c r="B79" s="4" t="s">
        <v>29</v>
      </c>
      <c r="C79" s="4"/>
      <c r="D79" s="18" t="s">
        <v>16</v>
      </c>
      <c r="E79" s="4"/>
      <c r="F79" s="4"/>
      <c r="G79" s="18"/>
    </row>
    <row r="80" spans="1:10" hidden="1" x14ac:dyDescent="0.25">
      <c r="A80" s="21">
        <v>47074</v>
      </c>
      <c r="B80" s="4"/>
      <c r="C80" s="4"/>
      <c r="D80" s="18" t="s">
        <v>17</v>
      </c>
      <c r="E80" s="4"/>
      <c r="F80" s="4"/>
      <c r="G80" s="18" t="str">
        <f>$F$3</f>
        <v>uklízí se</v>
      </c>
    </row>
    <row r="81" spans="1:7" hidden="1" x14ac:dyDescent="0.25">
      <c r="A81" s="21">
        <v>47111</v>
      </c>
      <c r="B81" s="4"/>
      <c r="C81" s="4"/>
      <c r="D81" s="18" t="s">
        <v>18</v>
      </c>
      <c r="E81" s="4"/>
      <c r="F81" s="4"/>
      <c r="G81" s="18" t="str">
        <f>B76</f>
        <v>měsíčně</v>
      </c>
    </row>
    <row r="82" spans="1:7" hidden="1" x14ac:dyDescent="0.25">
      <c r="A82" s="21">
        <v>47112</v>
      </c>
      <c r="B82" s="4"/>
      <c r="C82" s="4"/>
      <c r="D82" s="18" t="s">
        <v>19</v>
      </c>
      <c r="E82" s="4"/>
      <c r="F82" s="4"/>
      <c r="G82" s="18"/>
    </row>
    <row r="83" spans="1:7" hidden="1" x14ac:dyDescent="0.25">
      <c r="A83" s="21">
        <v>47113</v>
      </c>
      <c r="B83" s="4"/>
      <c r="C83" s="4"/>
      <c r="D83" s="18" t="s">
        <v>20</v>
      </c>
      <c r="E83" s="4"/>
      <c r="F83" s="4"/>
      <c r="G83" s="18" t="str">
        <f>$F$3</f>
        <v>uklízí se</v>
      </c>
    </row>
    <row r="84" spans="1:7" hidden="1" x14ac:dyDescent="0.25">
      <c r="A84" s="21">
        <v>47119</v>
      </c>
      <c r="B84" s="4"/>
      <c r="C84" s="4"/>
      <c r="D84" s="18" t="s">
        <v>21</v>
      </c>
      <c r="E84" s="4"/>
      <c r="F84" s="4"/>
      <c r="G84" s="18" t="str">
        <f>B77</f>
        <v>čtvrtletně</v>
      </c>
    </row>
    <row r="85" spans="1:7" hidden="1" x14ac:dyDescent="0.25">
      <c r="A85" s="21">
        <v>47207</v>
      </c>
      <c r="B85" s="4"/>
      <c r="C85" s="4"/>
      <c r="D85" s="18" t="s">
        <v>22</v>
      </c>
      <c r="E85" s="4"/>
      <c r="F85" s="4"/>
      <c r="G85" s="18"/>
    </row>
    <row r="86" spans="1:7" hidden="1" x14ac:dyDescent="0.25">
      <c r="A86" s="21">
        <v>47210</v>
      </c>
      <c r="B86" s="4"/>
      <c r="C86" s="4"/>
      <c r="D86" s="18" t="s">
        <v>23</v>
      </c>
      <c r="E86" s="4"/>
      <c r="F86" s="4"/>
      <c r="G86" s="18" t="str">
        <f>$F$3</f>
        <v>uklízí se</v>
      </c>
    </row>
    <row r="87" spans="1:7" hidden="1" x14ac:dyDescent="0.25">
      <c r="A87" s="21">
        <v>47239</v>
      </c>
      <c r="B87" s="4"/>
      <c r="C87" s="4"/>
      <c r="D87" s="18" t="s">
        <v>24</v>
      </c>
      <c r="E87" s="4"/>
      <c r="F87" s="4"/>
      <c r="G87" s="18" t="str">
        <f>B78</f>
        <v>ročně</v>
      </c>
    </row>
    <row r="88" spans="1:7" hidden="1" x14ac:dyDescent="0.25">
      <c r="A88" s="21">
        <v>47246</v>
      </c>
      <c r="B88" s="4"/>
      <c r="C88" s="4"/>
      <c r="D88" s="18" t="s">
        <v>25</v>
      </c>
      <c r="E88" s="4"/>
      <c r="F88" s="4"/>
      <c r="G88" s="18"/>
    </row>
    <row r="89" spans="1:7" hidden="1" x14ac:dyDescent="0.25">
      <c r="A89" s="21">
        <v>47304</v>
      </c>
      <c r="B89" s="4"/>
      <c r="C89" s="4"/>
      <c r="D89" s="18" t="s">
        <v>26</v>
      </c>
      <c r="E89" s="4"/>
      <c r="F89" s="4"/>
      <c r="G89" s="18"/>
    </row>
    <row r="90" spans="1:7" hidden="1" x14ac:dyDescent="0.25">
      <c r="A90" s="22">
        <v>47305</v>
      </c>
    </row>
    <row r="91" spans="1:7" hidden="1" x14ac:dyDescent="0.25">
      <c r="A91" s="22">
        <v>47389</v>
      </c>
    </row>
    <row r="92" spans="1:7" hidden="1" x14ac:dyDescent="0.25">
      <c r="A92" s="22">
        <v>47419</v>
      </c>
    </row>
    <row r="93" spans="1:7" hidden="1" x14ac:dyDescent="0.25">
      <c r="A93" s="22">
        <v>47439</v>
      </c>
    </row>
    <row r="94" spans="1:7" hidden="1" x14ac:dyDescent="0.25">
      <c r="A94" s="22">
        <v>47476</v>
      </c>
    </row>
    <row r="95" spans="1:7" hidden="1" x14ac:dyDescent="0.25">
      <c r="A95" s="22">
        <v>47477</v>
      </c>
    </row>
    <row r="96" spans="1:7" hidden="1" x14ac:dyDescent="0.25">
      <c r="A96" s="22">
        <v>47478</v>
      </c>
    </row>
    <row r="97" spans="1:1" hidden="1" x14ac:dyDescent="0.25">
      <c r="A97" s="22">
        <v>47484</v>
      </c>
    </row>
    <row r="98" spans="1:1" hidden="1" x14ac:dyDescent="0.25">
      <c r="A98" s="22">
        <v>47592</v>
      </c>
    </row>
    <row r="99" spans="1:1" hidden="1" x14ac:dyDescent="0.25">
      <c r="A99" s="22">
        <v>47595</v>
      </c>
    </row>
    <row r="100" spans="1:1" hidden="1" x14ac:dyDescent="0.25">
      <c r="A100" s="22">
        <v>47604</v>
      </c>
    </row>
    <row r="101" spans="1:1" hidden="1" x14ac:dyDescent="0.25">
      <c r="A101" s="22">
        <v>47611</v>
      </c>
    </row>
    <row r="102" spans="1:1" hidden="1" x14ac:dyDescent="0.25">
      <c r="A102" s="22">
        <v>47669</v>
      </c>
    </row>
    <row r="103" spans="1:1" hidden="1" x14ac:dyDescent="0.25">
      <c r="A103" s="22">
        <v>47670</v>
      </c>
    </row>
    <row r="104" spans="1:1" hidden="1" x14ac:dyDescent="0.25">
      <c r="A104" s="22">
        <v>47754</v>
      </c>
    </row>
    <row r="105" spans="1:1" hidden="1" x14ac:dyDescent="0.25">
      <c r="A105" s="22">
        <v>47784</v>
      </c>
    </row>
    <row r="106" spans="1:1" hidden="1" x14ac:dyDescent="0.25">
      <c r="A106" s="22">
        <v>47804</v>
      </c>
    </row>
    <row r="107" spans="1:1" hidden="1" x14ac:dyDescent="0.25">
      <c r="A107" s="22">
        <v>47841</v>
      </c>
    </row>
    <row r="108" spans="1:1" hidden="1" x14ac:dyDescent="0.25">
      <c r="A108" s="22">
        <v>47842</v>
      </c>
    </row>
    <row r="109" spans="1:1" hidden="1" x14ac:dyDescent="0.25">
      <c r="A109" s="22">
        <v>47843</v>
      </c>
    </row>
    <row r="110" spans="1:1" hidden="1" x14ac:dyDescent="0.25">
      <c r="A110" s="22">
        <v>44882</v>
      </c>
    </row>
    <row r="111" spans="1:1" hidden="1" x14ac:dyDescent="0.25">
      <c r="A111" s="22">
        <v>44921</v>
      </c>
    </row>
    <row r="112" spans="1:1" hidden="1" x14ac:dyDescent="0.25">
      <c r="A112" s="22">
        <v>45023</v>
      </c>
    </row>
    <row r="113" spans="1:1" hidden="1" x14ac:dyDescent="0.25">
      <c r="A113" s="22">
        <v>45026</v>
      </c>
    </row>
    <row r="114" spans="1:1" hidden="1" x14ac:dyDescent="0.25">
      <c r="A114" s="22">
        <v>45047</v>
      </c>
    </row>
    <row r="115" spans="1:1" hidden="1" x14ac:dyDescent="0.25">
      <c r="A115" s="22">
        <v>45054</v>
      </c>
    </row>
    <row r="116" spans="1:1" hidden="1" x14ac:dyDescent="0.25">
      <c r="A116" s="22">
        <v>45112</v>
      </c>
    </row>
    <row r="117" spans="1:1" hidden="1" x14ac:dyDescent="0.25">
      <c r="A117" s="22">
        <v>45113</v>
      </c>
    </row>
    <row r="118" spans="1:1" hidden="1" x14ac:dyDescent="0.25">
      <c r="A118" s="22">
        <v>45197</v>
      </c>
    </row>
    <row r="119" spans="1:1" hidden="1" x14ac:dyDescent="0.25">
      <c r="A119" s="22">
        <v>45247</v>
      </c>
    </row>
    <row r="120" spans="1:1" hidden="1" x14ac:dyDescent="0.25">
      <c r="A120" s="22">
        <v>45285</v>
      </c>
    </row>
    <row r="121" spans="1:1" hidden="1" x14ac:dyDescent="0.25">
      <c r="A121" s="22">
        <v>45286</v>
      </c>
    </row>
    <row r="122" spans="1:1" hidden="1" x14ac:dyDescent="0.25">
      <c r="A122" s="22">
        <v>45292</v>
      </c>
    </row>
    <row r="123" spans="1:1" hidden="1" x14ac:dyDescent="0.25">
      <c r="A123" s="22">
        <v>45380</v>
      </c>
    </row>
    <row r="124" spans="1:1" hidden="1" x14ac:dyDescent="0.25">
      <c r="A124" s="22">
        <v>45383</v>
      </c>
    </row>
    <row r="125" spans="1:1" hidden="1" x14ac:dyDescent="0.25">
      <c r="A125" s="22">
        <v>45413</v>
      </c>
    </row>
    <row r="126" spans="1:1" hidden="1" x14ac:dyDescent="0.25">
      <c r="A126" s="22">
        <v>45420</v>
      </c>
    </row>
    <row r="127" spans="1:1" hidden="1" x14ac:dyDescent="0.25">
      <c r="A127" s="22">
        <v>45478</v>
      </c>
    </row>
    <row r="128" spans="1:1" hidden="1" x14ac:dyDescent="0.25">
      <c r="A128" s="22">
        <v>45593</v>
      </c>
    </row>
    <row r="129" spans="1:1" hidden="1" x14ac:dyDescent="0.25">
      <c r="A129" s="22">
        <v>45650</v>
      </c>
    </row>
    <row r="130" spans="1:1" hidden="1" x14ac:dyDescent="0.25">
      <c r="A130" s="22">
        <v>45652</v>
      </c>
    </row>
    <row r="131" spans="1:1" hidden="1" x14ac:dyDescent="0.25">
      <c r="A131" s="22">
        <v>45652</v>
      </c>
    </row>
    <row r="132" spans="1:1" hidden="1" x14ac:dyDescent="0.25">
      <c r="A132" s="22">
        <v>45658</v>
      </c>
    </row>
    <row r="133" spans="1:1" hidden="1" x14ac:dyDescent="0.25">
      <c r="A133" s="22">
        <v>45765</v>
      </c>
    </row>
    <row r="134" spans="1:1" hidden="1" x14ac:dyDescent="0.25">
      <c r="A134" s="22">
        <v>45768</v>
      </c>
    </row>
    <row r="135" spans="1:1" hidden="1" x14ac:dyDescent="0.25">
      <c r="A135" s="22">
        <v>45958</v>
      </c>
    </row>
    <row r="136" spans="1:1" hidden="1" x14ac:dyDescent="0.25">
      <c r="A136" s="22">
        <v>45978</v>
      </c>
    </row>
    <row r="137" spans="1:1" hidden="1" x14ac:dyDescent="0.25">
      <c r="A137" s="22">
        <v>46015</v>
      </c>
    </row>
    <row r="138" spans="1:1" hidden="1" x14ac:dyDescent="0.25">
      <c r="A138" s="22">
        <v>46016</v>
      </c>
    </row>
    <row r="139" spans="1:1" hidden="1" x14ac:dyDescent="0.25">
      <c r="A139" s="22">
        <v>46017</v>
      </c>
    </row>
  </sheetData>
  <sheetProtection algorithmName="SHA-512" hashValue="ozC+EIaUJjsLNrQo3Wk0O7PzOOC9PH0H6amozoD4yPyAm4lofVAOesh6UVRxZetjhZO7K34/KRwKhW5VVXRu1A==" saltValue="/zUegyc8DPs3TE/sMGIjLg==" spinCount="100000" sheet="1" selectLockedCells="1"/>
  <sortState xmlns:xlrd2="http://schemas.microsoft.com/office/spreadsheetml/2017/richdata2" ref="A4:S62">
    <sortCondition ref="F4:F62"/>
  </sortState>
  <mergeCells count="1">
    <mergeCell ref="B68:D68"/>
  </mergeCells>
  <phoneticPr fontId="15" type="noConversion"/>
  <conditionalFormatting sqref="C4:C7 C36:C41 C9:C31 C46:C60">
    <cfRule type="expression" dxfId="66" priority="109">
      <formula>AND($B4&gt;0)</formula>
    </cfRule>
  </conditionalFormatting>
  <conditionalFormatting sqref="B4:B7 B36:B41 B9:B31 B46:B60">
    <cfRule type="expression" dxfId="65" priority="108">
      <formula>AND($C4&gt;0)</formula>
    </cfRule>
  </conditionalFormatting>
  <conditionalFormatting sqref="G4:G7 G36:G41 G9:G31 G46:G59">
    <cfRule type="expression" dxfId="64" priority="103">
      <formula>AND(G4&gt;1)</formula>
    </cfRule>
  </conditionalFormatting>
  <conditionalFormatting sqref="G30:G31 G36:G37">
    <cfRule type="expression" dxfId="63" priority="94">
      <formula>AND(G30&gt;1)</formula>
    </cfRule>
  </conditionalFormatting>
  <conditionalFormatting sqref="G38:G40">
    <cfRule type="expression" dxfId="62" priority="88">
      <formula>AND(G38&gt;1)</formula>
    </cfRule>
  </conditionalFormatting>
  <conditionalFormatting sqref="G60">
    <cfRule type="expression" dxfId="61" priority="84">
      <formula>AND(G60&gt;1)</formula>
    </cfRule>
  </conditionalFormatting>
  <conditionalFormatting sqref="F4:F7 F36:F41 F9:F31 F46:F60">
    <cfRule type="expression" dxfId="60" priority="77">
      <formula>AND(F4="ročně")</formula>
    </cfRule>
    <cfRule type="expression" dxfId="59" priority="78">
      <formula>AND(F4="čtvrtletně")</formula>
    </cfRule>
    <cfRule type="expression" dxfId="58" priority="79">
      <formula>AND(F4="měsíčně")</formula>
    </cfRule>
    <cfRule type="expression" dxfId="57" priority="80">
      <formula>AND(F4="týdně")</formula>
    </cfRule>
    <cfRule type="expression" dxfId="56" priority="83">
      <formula>AND(F4="denně")</formula>
    </cfRule>
  </conditionalFormatting>
  <conditionalFormatting sqref="G23">
    <cfRule type="expression" dxfId="55" priority="64">
      <formula>AND(G23&gt;1)</formula>
    </cfRule>
  </conditionalFormatting>
  <conditionalFormatting sqref="F23">
    <cfRule type="expression" dxfId="54" priority="59">
      <formula>AND(F23="ročně")</formula>
    </cfRule>
    <cfRule type="expression" dxfId="53" priority="60">
      <formula>AND(F23="čtvrtletně")</formula>
    </cfRule>
    <cfRule type="expression" dxfId="52" priority="61">
      <formula>AND(F23="měsíčně")</formula>
    </cfRule>
    <cfRule type="expression" dxfId="51" priority="62">
      <formula>AND(F23="týdně")</formula>
    </cfRule>
    <cfRule type="expression" dxfId="50" priority="63">
      <formula>AND(F23="denně")</formula>
    </cfRule>
  </conditionalFormatting>
  <conditionalFormatting sqref="C8">
    <cfRule type="expression" dxfId="49" priority="57">
      <formula>AND($B8&gt;0)</formula>
    </cfRule>
  </conditionalFormatting>
  <conditionalFormatting sqref="B8">
    <cfRule type="expression" dxfId="48" priority="56">
      <formula>AND($C8&gt;0)</formula>
    </cfRule>
  </conditionalFormatting>
  <conditionalFormatting sqref="G8">
    <cfRule type="expression" dxfId="47" priority="55">
      <formula>AND(G8&gt;1)</formula>
    </cfRule>
  </conditionalFormatting>
  <conditionalFormatting sqref="F8">
    <cfRule type="expression" dxfId="46" priority="50">
      <formula>AND(F8="ročně")</formula>
    </cfRule>
    <cfRule type="expression" dxfId="45" priority="51">
      <formula>AND(F8="čtvrtletně")</formula>
    </cfRule>
    <cfRule type="expression" dxfId="44" priority="52">
      <formula>AND(F8="měsíčně")</formula>
    </cfRule>
    <cfRule type="expression" dxfId="43" priority="53">
      <formula>AND(F8="týdně")</formula>
    </cfRule>
    <cfRule type="expression" dxfId="42" priority="54">
      <formula>AND(F8="denně")</formula>
    </cfRule>
  </conditionalFormatting>
  <conditionalFormatting sqref="C33:C34">
    <cfRule type="expression" dxfId="41" priority="39">
      <formula>AND($B33&gt;0)</formula>
    </cfRule>
  </conditionalFormatting>
  <conditionalFormatting sqref="B33:B34">
    <cfRule type="expression" dxfId="40" priority="38">
      <formula>AND($C33&gt;0)</formula>
    </cfRule>
  </conditionalFormatting>
  <conditionalFormatting sqref="G33:G34">
    <cfRule type="expression" dxfId="39" priority="37">
      <formula>AND(G33&gt;1)</formula>
    </cfRule>
  </conditionalFormatting>
  <conditionalFormatting sqref="G33:G34">
    <cfRule type="expression" dxfId="38" priority="36">
      <formula>AND(G33&gt;1)</formula>
    </cfRule>
  </conditionalFormatting>
  <conditionalFormatting sqref="F33:F34">
    <cfRule type="expression" dxfId="37" priority="31">
      <formula>AND(F33="ročně")</formula>
    </cfRule>
    <cfRule type="expression" dxfId="36" priority="32">
      <formula>AND(F33="čtvrtletně")</formula>
    </cfRule>
    <cfRule type="expression" dxfId="35" priority="33">
      <formula>AND(F33="měsíčně")</formula>
    </cfRule>
    <cfRule type="expression" dxfId="34" priority="34">
      <formula>AND(F33="týdně")</formula>
    </cfRule>
    <cfRule type="expression" dxfId="33" priority="35">
      <formula>AND(F33="denně")</formula>
    </cfRule>
  </conditionalFormatting>
  <conditionalFormatting sqref="C42:C45">
    <cfRule type="expression" dxfId="32" priority="29">
      <formula>AND($B42&gt;0)</formula>
    </cfRule>
  </conditionalFormatting>
  <conditionalFormatting sqref="B42:B45">
    <cfRule type="expression" dxfId="31" priority="28">
      <formula>AND($C42&gt;0)</formula>
    </cfRule>
  </conditionalFormatting>
  <conditionalFormatting sqref="G42:G45">
    <cfRule type="expression" dxfId="30" priority="27">
      <formula>AND(G42&gt;1)</formula>
    </cfRule>
  </conditionalFormatting>
  <conditionalFormatting sqref="G42:G43">
    <cfRule type="expression" dxfId="29" priority="26">
      <formula>AND(G42&gt;1)</formula>
    </cfRule>
  </conditionalFormatting>
  <conditionalFormatting sqref="F42:F45">
    <cfRule type="expression" dxfId="28" priority="21">
      <formula>AND(F42="ročně")</formula>
    </cfRule>
    <cfRule type="expression" dxfId="27" priority="22">
      <formula>AND(F42="čtvrtletně")</formula>
    </cfRule>
    <cfRule type="expression" dxfId="26" priority="23">
      <formula>AND(F42="měsíčně")</formula>
    </cfRule>
    <cfRule type="expression" dxfId="25" priority="24">
      <formula>AND(F42="týdně")</formula>
    </cfRule>
    <cfRule type="expression" dxfId="24" priority="25">
      <formula>AND(F42="denně")</formula>
    </cfRule>
  </conditionalFormatting>
  <conditionalFormatting sqref="F35">
    <cfRule type="expression" dxfId="23" priority="11">
      <formula>AND(F35="ročně")</formula>
    </cfRule>
    <cfRule type="expression" dxfId="22" priority="12">
      <formula>AND(F35="čtvrtletně")</formula>
    </cfRule>
    <cfRule type="expression" dxfId="21" priority="13">
      <formula>AND(F35="měsíčně")</formula>
    </cfRule>
    <cfRule type="expression" dxfId="20" priority="14">
      <formula>AND(F35="týdně")</formula>
    </cfRule>
    <cfRule type="expression" dxfId="19" priority="15">
      <formula>AND(F35="denně")</formula>
    </cfRule>
  </conditionalFormatting>
  <conditionalFormatting sqref="C35">
    <cfRule type="expression" dxfId="18" priority="19">
      <formula>AND($B35&gt;0)</formula>
    </cfRule>
  </conditionalFormatting>
  <conditionalFormatting sqref="B35">
    <cfRule type="expression" dxfId="17" priority="18">
      <formula>AND($C35&gt;0)</formula>
    </cfRule>
  </conditionalFormatting>
  <conditionalFormatting sqref="G35">
    <cfRule type="expression" dxfId="16" priority="17">
      <formula>AND(G35&gt;1)</formula>
    </cfRule>
  </conditionalFormatting>
  <conditionalFormatting sqref="G35">
    <cfRule type="expression" dxfId="15" priority="16">
      <formula>AND(G35&gt;1)</formula>
    </cfRule>
  </conditionalFormatting>
  <conditionalFormatting sqref="F32">
    <cfRule type="expression" dxfId="14" priority="1">
      <formula>AND(F32="ročně")</formula>
    </cfRule>
    <cfRule type="expression" dxfId="13" priority="2">
      <formula>AND(F32="čtvrtletně")</formula>
    </cfRule>
    <cfRule type="expression" dxfId="12" priority="3">
      <formula>AND(F32="měsíčně")</formula>
    </cfRule>
    <cfRule type="expression" dxfId="11" priority="4">
      <formula>AND(F32="týdně")</formula>
    </cfRule>
    <cfRule type="expression" dxfId="10" priority="5">
      <formula>AND(F32="denně")</formula>
    </cfRule>
  </conditionalFormatting>
  <conditionalFormatting sqref="C32">
    <cfRule type="expression" dxfId="9" priority="9">
      <formula>AND($B32&gt;0)</formula>
    </cfRule>
  </conditionalFormatting>
  <conditionalFormatting sqref="B32">
    <cfRule type="expression" dxfId="8" priority="8">
      <formula>AND($C32&gt;0)</formula>
    </cfRule>
  </conditionalFormatting>
  <conditionalFormatting sqref="G32">
    <cfRule type="expression" dxfId="7" priority="7">
      <formula>AND(G32&gt;1)</formula>
    </cfRule>
  </conditionalFormatting>
  <conditionalFormatting sqref="G32">
    <cfRule type="expression" dxfId="6" priority="6">
      <formula>AND(G32&gt;1)</formula>
    </cfRule>
  </conditionalFormatting>
  <conditionalFormatting sqref="H4:I60">
    <cfRule type="expression" dxfId="5" priority="142">
      <formula>AND($F4&lt;&gt;$B$79)</formula>
    </cfRule>
  </conditionalFormatting>
  <dataValidations count="6">
    <dataValidation type="whole" allowBlank="1" showInputMessage="1" showErrorMessage="1" sqref="H4:I60" xr:uid="{00000000-0002-0000-0100-000000000000}">
      <formula1>1</formula1>
      <formula2>52</formula2>
    </dataValidation>
    <dataValidation type="whole" operator="greaterThanOrEqual" allowBlank="1" showInputMessage="1" showErrorMessage="1" sqref="B4:B60 D4:E60" xr:uid="{00000000-0002-0000-0100-000001000000}">
      <formula1>0</formula1>
    </dataValidation>
    <dataValidation type="whole" operator="greaterThanOrEqual" allowBlank="1" showInputMessage="1" showErrorMessage="1" sqref="G4:G60" xr:uid="{00000000-0002-0000-0100-000002000000}">
      <formula1>1</formula1>
    </dataValidation>
    <dataValidation type="list" allowBlank="1" showInputMessage="1" showErrorMessage="1" sqref="C4:C60" xr:uid="{00000000-0002-0000-0100-000005000000}">
      <formula1>"0,1"</formula1>
    </dataValidation>
    <dataValidation type="list" allowBlank="1" showInputMessage="1" showErrorMessage="1" sqref="F4:F60" xr:uid="{00000000-0002-0000-0100-000003000000}">
      <formula1>$B$74:$B$79</formula1>
    </dataValidation>
    <dataValidation type="list" allowBlank="1" showInputMessage="1" showErrorMessage="1" sqref="J4:K60" xr:uid="{00000000-0002-0000-0100-000004000000}">
      <formula1>$C$74:$C$75</formula1>
    </dataValidation>
  </dataValidations>
  <pageMargins left="0.23622047244094502" right="0.23622047244094502" top="0.35433070866141703" bottom="0.35433070866141703" header="0.31496062992126" footer="0.31496062992126"/>
  <pageSetup paperSize="9" orientation="landscape" cellComments="atEn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L104"/>
  <sheetViews>
    <sheetView zoomScale="85" zoomScaleNormal="85" workbookViewId="0">
      <selection activeCell="B3" sqref="B3"/>
    </sheetView>
  </sheetViews>
  <sheetFormatPr defaultRowHeight="15" x14ac:dyDescent="0.25"/>
  <cols>
    <col min="1" max="1" width="32.28515625" style="4" customWidth="1"/>
    <col min="2" max="3" width="14.140625" style="4" customWidth="1"/>
    <col min="4" max="4" width="59.7109375" style="44" customWidth="1"/>
    <col min="5" max="5" width="22.5703125" style="44" customWidth="1"/>
    <col min="6" max="6" width="15.140625" style="44" customWidth="1"/>
    <col min="7" max="7" width="15.85546875" style="44" customWidth="1"/>
    <col min="8" max="8" width="42.5703125" style="4" customWidth="1"/>
    <col min="9" max="10" width="9.140625" style="4"/>
    <col min="11" max="11" width="11.42578125" style="4" bestFit="1" customWidth="1"/>
    <col min="12" max="12" width="10.140625" style="4" bestFit="1" customWidth="1"/>
    <col min="13" max="16384" width="9.140625" style="4"/>
  </cols>
  <sheetData>
    <row r="1" spans="1:8" ht="21" x14ac:dyDescent="0.35">
      <c r="A1" s="97" t="s">
        <v>111</v>
      </c>
      <c r="B1" s="98"/>
      <c r="C1" s="98"/>
    </row>
    <row r="2" spans="1:8" ht="21.75" thickBot="1" x14ac:dyDescent="0.4">
      <c r="A2" s="98" t="s">
        <v>93</v>
      </c>
      <c r="D2" s="99" t="str">
        <f>'Rozpis úklidu'!$A$1</f>
        <v>kolej: Rooseveltova, VŠE</v>
      </c>
    </row>
    <row r="3" spans="1:8" ht="16.5" thickBot="1" x14ac:dyDescent="0.3">
      <c r="A3" s="100" t="s">
        <v>94</v>
      </c>
      <c r="B3" s="70">
        <f ca="1">NOW()</f>
        <v>46127.699021643515</v>
      </c>
      <c r="C3" s="70"/>
      <c r="D3" s="101"/>
      <c r="E3" s="101"/>
      <c r="F3" s="101"/>
      <c r="G3" s="101"/>
      <c r="H3" s="102"/>
    </row>
    <row r="4" spans="1:8" ht="60.75" customHeight="1" thickBot="1" x14ac:dyDescent="0.3">
      <c r="A4" s="103" t="str">
        <f>'Rozpis úklidu'!$A$3</f>
        <v>Úklidová jednotka</v>
      </c>
      <c r="B4" s="104" t="str">
        <f>'Rozpis úklidu'!$D$3</f>
        <v>počet
úklidových jednotek</v>
      </c>
      <c r="C4" s="104" t="s">
        <v>199</v>
      </c>
      <c r="D4" s="105" t="str">
        <f>'Rozpis úklidu'!$L$3</f>
        <v>Popis činnosti</v>
      </c>
      <c r="E4" s="106" t="str">
        <f>'Rozpis úklidu'!$Q$3</f>
        <v>cena celkem za všechny úklidové jednotky 
(prac. dny)
[Kč]</v>
      </c>
      <c r="F4" s="106" t="s">
        <v>100</v>
      </c>
      <c r="G4" s="106" t="s">
        <v>99</v>
      </c>
      <c r="H4" s="107" t="s">
        <v>3</v>
      </c>
    </row>
    <row r="5" spans="1:8" ht="36" customHeight="1" x14ac:dyDescent="0.25">
      <c r="A5" s="108" t="str">
        <f>'Rozpis úklidu'!A4</f>
        <v>výtah velký</v>
      </c>
      <c r="B5" s="109">
        <f>'Rozpis úklidu'!D4*'Rozpis úklidu'!G4</f>
        <v>1</v>
      </c>
      <c r="C5" s="110">
        <f>IF('Rozpis úklidu'!N4=0,'Rozpis úklidu'!M4*B5/60,'Rozpis úklidu'!N4*B5/60)</f>
        <v>0.16666666666666666</v>
      </c>
      <c r="D5" s="111" t="str">
        <f>'Rozpis úklidu'!L4</f>
        <v>Úklidová činnost č. 11</v>
      </c>
      <c r="E5" s="112">
        <f>'Rozpis úklidu'!P4*F5</f>
        <v>0</v>
      </c>
      <c r="F5" s="175">
        <f>B5</f>
        <v>1</v>
      </c>
      <c r="G5" s="113">
        <f>IF(F5&lt;B5,(B5-F5)*('Rozpis úklidu'!P4)*2,0)</f>
        <v>0</v>
      </c>
      <c r="H5" s="77"/>
    </row>
    <row r="6" spans="1:8" ht="36" customHeight="1" x14ac:dyDescent="0.25">
      <c r="A6" s="114" t="str">
        <f>'Rozpis úklidu'!A5</f>
        <v>výtah malý</v>
      </c>
      <c r="B6" s="115">
        <f>'Rozpis úklidu'!D5*'Rozpis úklidu'!G5</f>
        <v>1</v>
      </c>
      <c r="C6" s="116">
        <f>IF('Rozpis úklidu'!N5=0,'Rozpis úklidu'!M5*B6/60,'Rozpis úklidu'!N5*B6/60)</f>
        <v>0.13333333333333333</v>
      </c>
      <c r="D6" s="117" t="str">
        <f>'Rozpis úklidu'!L5</f>
        <v>Úklidová činnost č. 11</v>
      </c>
      <c r="E6" s="118">
        <f>'Rozpis úklidu'!P5*F6</f>
        <v>0</v>
      </c>
      <c r="F6" s="172">
        <f t="shared" ref="F6:F19" si="0">B6</f>
        <v>1</v>
      </c>
      <c r="G6" s="119">
        <f>IF(F6&lt;B6,(B6-F6)*('Rozpis úklidu'!P5)*2,0)</f>
        <v>0</v>
      </c>
      <c r="H6" s="33"/>
    </row>
    <row r="7" spans="1:8" ht="36" customHeight="1" x14ac:dyDescent="0.25">
      <c r="A7" s="120" t="str">
        <f>'Rozpis úklidu'!A6</f>
        <v>patro chodba 2.-6.NP</v>
      </c>
      <c r="B7" s="121">
        <f>'Rozpis úklidu'!D6*'Rozpis úklidu'!G6</f>
        <v>5</v>
      </c>
      <c r="C7" s="122">
        <f>IF('Rozpis úklidu'!N6=0,'Rozpis úklidu'!M6*B7/60,'Rozpis úklidu'!N6*B7/60)</f>
        <v>1.5</v>
      </c>
      <c r="D7" s="7" t="str">
        <f>'Rozpis úklidu'!L6</f>
        <v>Úklidová činnost č, 1</v>
      </c>
      <c r="E7" s="123">
        <f>'Rozpis úklidu'!P6*F7</f>
        <v>0</v>
      </c>
      <c r="F7" s="171">
        <f t="shared" si="0"/>
        <v>5</v>
      </c>
      <c r="G7" s="124">
        <f>IF(F7&lt;B7,(B7-F7)*('Rozpis úklidu'!P6)*2,0)</f>
        <v>0</v>
      </c>
      <c r="H7" s="33"/>
    </row>
    <row r="8" spans="1:8" ht="36" customHeight="1" x14ac:dyDescent="0.25">
      <c r="A8" s="120" t="str">
        <f>'Rozpis úklidu'!A7</f>
        <v>patro chodba 7. NP</v>
      </c>
      <c r="B8" s="121">
        <f>'Rozpis úklidu'!D7*'Rozpis úklidu'!G7</f>
        <v>1</v>
      </c>
      <c r="C8" s="122">
        <f>IF('Rozpis úklidu'!N7=0,'Rozpis úklidu'!M7*B8/60,'Rozpis úklidu'!N7*B8/60)</f>
        <v>0.26666666666666666</v>
      </c>
      <c r="D8" s="7" t="str">
        <f>'Rozpis úklidu'!L7</f>
        <v>Úklidová činnost č, 1</v>
      </c>
      <c r="E8" s="123">
        <f>'Rozpis úklidu'!P7*F8</f>
        <v>0</v>
      </c>
      <c r="F8" s="171">
        <f t="shared" si="0"/>
        <v>1</v>
      </c>
      <c r="G8" s="124">
        <f>IF(F8&lt;B8,(B8-F8)*('Rozpis úklidu'!P7)*2,0)</f>
        <v>0</v>
      </c>
      <c r="H8" s="33"/>
    </row>
    <row r="9" spans="1:8" ht="36" customHeight="1" x14ac:dyDescent="0.25">
      <c r="A9" s="120" t="str">
        <f>'Rozpis úklidu'!A8</f>
        <v>patro chodba 1. NP</v>
      </c>
      <c r="B9" s="121">
        <f>'Rozpis úklidu'!D8*'Rozpis úklidu'!G8</f>
        <v>1</v>
      </c>
      <c r="C9" s="122">
        <f>IF('Rozpis úklidu'!N8=0,'Rozpis úklidu'!M8*B9/60,'Rozpis úklidu'!N8*B9/60)</f>
        <v>0.43333333333333335</v>
      </c>
      <c r="D9" s="7" t="str">
        <f>'Rozpis úklidu'!L8</f>
        <v>Úklidová činnost č, 1</v>
      </c>
      <c r="E9" s="123">
        <f>'Rozpis úklidu'!P8*F9</f>
        <v>0</v>
      </c>
      <c r="F9" s="171">
        <f t="shared" si="0"/>
        <v>1</v>
      </c>
      <c r="G9" s="124">
        <f>IF(F9&lt;B9,(B9-F9)*('Rozpis úklidu'!P8)*2,0)</f>
        <v>0</v>
      </c>
      <c r="H9" s="33"/>
    </row>
    <row r="10" spans="1:8" ht="36" customHeight="1" x14ac:dyDescent="0.25">
      <c r="A10" s="120" t="str">
        <f>'Rozpis úklidu'!A9</f>
        <v>schodiště</v>
      </c>
      <c r="B10" s="121">
        <f>'Rozpis úklidu'!D9*'Rozpis úklidu'!G9</f>
        <v>7</v>
      </c>
      <c r="C10" s="122">
        <f>IF('Rozpis úklidu'!N9=0,'Rozpis úklidu'!M9*B10/60,'Rozpis úklidu'!N9*B10/60)</f>
        <v>1.1666666666666667</v>
      </c>
      <c r="D10" s="7" t="str">
        <f>'Rozpis úklidu'!L9</f>
        <v>Úklidová činnost č, 1</v>
      </c>
      <c r="E10" s="123">
        <f>'Rozpis úklidu'!P9*F10</f>
        <v>0</v>
      </c>
      <c r="F10" s="171">
        <f t="shared" si="0"/>
        <v>7</v>
      </c>
      <c r="G10" s="124">
        <f>IF(F10&lt;B10,(B10-F10)*('Rozpis úklidu'!P9)*2,0)</f>
        <v>0</v>
      </c>
      <c r="H10" s="33"/>
    </row>
    <row r="11" spans="1:8" ht="36" customHeight="1" x14ac:dyDescent="0.25">
      <c r="A11" s="120" t="str">
        <f>'Rozpis úklidu'!A10</f>
        <v>tv místnost</v>
      </c>
      <c r="B11" s="121">
        <f>'Rozpis úklidu'!D10*'Rozpis úklidu'!G10</f>
        <v>1</v>
      </c>
      <c r="C11" s="122">
        <f>IF('Rozpis úklidu'!N10=0,'Rozpis úklidu'!M10*B11/60,'Rozpis úklidu'!N10*B11/60)</f>
        <v>0.2</v>
      </c>
      <c r="D11" s="7" t="str">
        <f>'Rozpis úklidu'!L10</f>
        <v>Úklidová činnost č. 3</v>
      </c>
      <c r="E11" s="123">
        <f>'Rozpis úklidu'!P10*F11</f>
        <v>0</v>
      </c>
      <c r="F11" s="171">
        <f t="shared" si="0"/>
        <v>1</v>
      </c>
      <c r="G11" s="124">
        <f>IF(F11&lt;B11,(B11-F11)*('Rozpis úklidu'!P10)*2,0)</f>
        <v>0</v>
      </c>
      <c r="H11" s="33"/>
    </row>
    <row r="12" spans="1:8" ht="36" customHeight="1" x14ac:dyDescent="0.25">
      <c r="A12" s="120" t="str">
        <f>'Rozpis úklidu'!A11</f>
        <v>posilovna</v>
      </c>
      <c r="B12" s="121">
        <f>'Rozpis úklidu'!D11*'Rozpis úklidu'!G11</f>
        <v>1</v>
      </c>
      <c r="C12" s="122">
        <f>IF('Rozpis úklidu'!N11=0,'Rozpis úklidu'!M11*B12/60,'Rozpis úklidu'!N11*B12/60)</f>
        <v>0.33333333333333331</v>
      </c>
      <c r="D12" s="7" t="str">
        <f>'Rozpis úklidu'!L11</f>
        <v>Úklidová činnost č. 3</v>
      </c>
      <c r="E12" s="123">
        <f>'Rozpis úklidu'!P11*F12</f>
        <v>0</v>
      </c>
      <c r="F12" s="171">
        <f t="shared" si="0"/>
        <v>1</v>
      </c>
      <c r="G12" s="124">
        <f>IF(F12&lt;B12,(B12-F12)*('Rozpis úklidu'!P11)*2,0)</f>
        <v>0</v>
      </c>
      <c r="H12" s="33"/>
    </row>
    <row r="13" spans="1:8" ht="36" customHeight="1" x14ac:dyDescent="0.25">
      <c r="A13" s="120" t="str">
        <f>'Rozpis úklidu'!A12</f>
        <v>studovna</v>
      </c>
      <c r="B13" s="121">
        <f>'Rozpis úklidu'!D12*'Rozpis úklidu'!G12</f>
        <v>1</v>
      </c>
      <c r="C13" s="122">
        <f>IF('Rozpis úklidu'!N12=0,'Rozpis úklidu'!M12*B13/60,'Rozpis úklidu'!N12*B13/60)</f>
        <v>0.16666666666666666</v>
      </c>
      <c r="D13" s="7" t="str">
        <f>'Rozpis úklidu'!L12</f>
        <v>Úklidová činnost č. 3</v>
      </c>
      <c r="E13" s="123">
        <f>'Rozpis úklidu'!P12*F13</f>
        <v>0</v>
      </c>
      <c r="F13" s="171">
        <f t="shared" si="0"/>
        <v>1</v>
      </c>
      <c r="G13" s="124">
        <f>IF(F13&lt;B13,(B13-F13)*('Rozpis úklidu'!P12)*2,0)</f>
        <v>0</v>
      </c>
      <c r="H13" s="33"/>
    </row>
    <row r="14" spans="1:8" ht="36" customHeight="1" x14ac:dyDescent="0.25">
      <c r="A14" s="120" t="str">
        <f>'Rozpis úklidu'!A13</f>
        <v>sušárna + prádelna</v>
      </c>
      <c r="B14" s="121">
        <f>'Rozpis úklidu'!D13*'Rozpis úklidu'!G13</f>
        <v>1</v>
      </c>
      <c r="C14" s="122">
        <f>IF('Rozpis úklidu'!N13=0,'Rozpis úklidu'!M13*B14/60,'Rozpis úklidu'!N13*B14/60)</f>
        <v>0.25</v>
      </c>
      <c r="D14" s="7" t="str">
        <f>'Rozpis úklidu'!L13</f>
        <v>Úklidová činnost č. 4</v>
      </c>
      <c r="E14" s="123">
        <f>'Rozpis úklidu'!P13*F14</f>
        <v>0</v>
      </c>
      <c r="F14" s="171">
        <f t="shared" si="0"/>
        <v>1</v>
      </c>
      <c r="G14" s="124">
        <f>IF(F14&lt;B14,(B14-F14)*('Rozpis úklidu'!P13)*2,0)</f>
        <v>0</v>
      </c>
      <c r="H14" s="33"/>
    </row>
    <row r="15" spans="1:8" ht="36" customHeight="1" x14ac:dyDescent="0.25">
      <c r="A15" s="120" t="str">
        <f>'Rozpis úklidu'!A14</f>
        <v>WC suterén</v>
      </c>
      <c r="B15" s="121">
        <f>'Rozpis úklidu'!D14*'Rozpis úklidu'!G14</f>
        <v>2</v>
      </c>
      <c r="C15" s="122">
        <f>IF('Rozpis úklidu'!N14=0,'Rozpis úklidu'!M14*B15/60,'Rozpis úklidu'!N14*B15/60)</f>
        <v>0.26666666666666666</v>
      </c>
      <c r="D15" s="7" t="str">
        <f>'Rozpis úklidu'!L14</f>
        <v>Úklidová činnost č. 14</v>
      </c>
      <c r="E15" s="123">
        <f>'Rozpis úklidu'!P14*F15</f>
        <v>0</v>
      </c>
      <c r="F15" s="171">
        <f t="shared" si="0"/>
        <v>2</v>
      </c>
      <c r="G15" s="124">
        <f>IF(F15&lt;B15,(B15-F15)*('Rozpis úklidu'!P14)*2,0)</f>
        <v>0</v>
      </c>
      <c r="H15" s="33"/>
    </row>
    <row r="16" spans="1:8" ht="36" customHeight="1" x14ac:dyDescent="0.25">
      <c r="A16" s="120" t="str">
        <f>'Rozpis úklidu'!A15</f>
        <v>HYGIENICKÉ ZÁZEMÍ 1. NP</v>
      </c>
      <c r="B16" s="121">
        <f>'Rozpis úklidu'!D15*'Rozpis úklidu'!G15</f>
        <v>1</v>
      </c>
      <c r="C16" s="122">
        <f>IF('Rozpis úklidu'!N15=0,'Rozpis úklidu'!M15*B16/60,'Rozpis úklidu'!N15*B16/60)</f>
        <v>0.16666666666666666</v>
      </c>
      <c r="D16" s="7" t="str">
        <f>'Rozpis úklidu'!L15</f>
        <v>Úklidová činnost č. 14 a 15</v>
      </c>
      <c r="E16" s="123">
        <f>'Rozpis úklidu'!P15*F16</f>
        <v>0</v>
      </c>
      <c r="F16" s="171">
        <f t="shared" si="0"/>
        <v>1</v>
      </c>
      <c r="G16" s="124">
        <f>IF(F16&lt;B16,(B16-F16)*('Rozpis úklidu'!P15)*2,0)</f>
        <v>0</v>
      </c>
      <c r="H16" s="33"/>
    </row>
    <row r="17" spans="1:11" ht="36" customHeight="1" x14ac:dyDescent="0.25">
      <c r="A17" s="120" t="str">
        <f>'Rozpis úklidu'!A16</f>
        <v>WC + sprcha 1.-7. NP</v>
      </c>
      <c r="B17" s="121">
        <f>'Rozpis úklidu'!D16*'Rozpis úklidu'!G16</f>
        <v>14</v>
      </c>
      <c r="C17" s="122">
        <f>IF('Rozpis úklidu'!N16=0,'Rozpis úklidu'!M16*B17/60,'Rozpis úklidu'!N16*B17/60)</f>
        <v>5.833333333333333</v>
      </c>
      <c r="D17" s="7" t="str">
        <f>'Rozpis úklidu'!L16</f>
        <v>Úklidová činnost č. 14 a 15</v>
      </c>
      <c r="E17" s="123">
        <f>'Rozpis úklidu'!P16*F17</f>
        <v>0</v>
      </c>
      <c r="F17" s="171">
        <f t="shared" si="0"/>
        <v>14</v>
      </c>
      <c r="G17" s="124">
        <f>IF(F17&lt;B17,(B17-F17)*('Rozpis úklidu'!P16)*2,0)</f>
        <v>0</v>
      </c>
      <c r="H17" s="33"/>
    </row>
    <row r="18" spans="1:11" ht="48.75" customHeight="1" x14ac:dyDescent="0.25">
      <c r="A18" s="120" t="str">
        <f>'Rozpis úklidu'!A17</f>
        <v>kuchyňky 1.-7. NP</v>
      </c>
      <c r="B18" s="125">
        <f>'Rozpis úklidu'!D17*'Rozpis úklidu'!G17</f>
        <v>13</v>
      </c>
      <c r="C18" s="126">
        <f>IF('Rozpis úklidu'!N17=0,'Rozpis úklidu'!M17*B18/60,'Rozpis úklidu'!N17*B18/60)</f>
        <v>4.333333333333333</v>
      </c>
      <c r="D18" s="7" t="str">
        <f>'Rozpis úklidu'!L17</f>
        <v>Úklidová činnost č. 5</v>
      </c>
      <c r="E18" s="127">
        <f>'Rozpis úklidu'!P17*F18</f>
        <v>0</v>
      </c>
      <c r="F18" s="174">
        <f t="shared" si="0"/>
        <v>13</v>
      </c>
      <c r="G18" s="128">
        <f>IF(F18&lt;B18,(B18-F18)*('Rozpis úklidu'!P17)*2,0)</f>
        <v>0</v>
      </c>
      <c r="H18" s="33"/>
    </row>
    <row r="19" spans="1:11" ht="48.75" customHeight="1" x14ac:dyDescent="0.25">
      <c r="A19" s="120" t="str">
        <f>CONCATENATE('Rozpis úklidu'!A19," (",'Rozpis úklidu'!D19*'Rozpis úklidu'!G19,")")</f>
        <v>kanceláře+zázemí (1)</v>
      </c>
      <c r="B19" s="125">
        <f>'Rozpis úklidu'!D19*'Rozpis úklidu'!G19</f>
        <v>1</v>
      </c>
      <c r="C19" s="126">
        <f>IF('Rozpis úklidu'!N19=0,'Rozpis úklidu'!M19*B19/60,'Rozpis úklidu'!N19*B19/60)</f>
        <v>0.16666666666666666</v>
      </c>
      <c r="D19" s="7" t="str">
        <f>'Rozpis úklidu'!L19</f>
        <v>Úklidová činnost č. 3, a 14</v>
      </c>
      <c r="E19" s="127">
        <f>'Rozpis úklidu'!P19*F19</f>
        <v>0</v>
      </c>
      <c r="F19" s="174">
        <f t="shared" si="0"/>
        <v>1</v>
      </c>
      <c r="G19" s="128">
        <f>IF(F19&lt;B19,(B19-F19)*('Rozpis úklidu'!P19)*2,0)</f>
        <v>0</v>
      </c>
      <c r="H19" s="33"/>
    </row>
    <row r="20" spans="1:11" ht="48.75" customHeight="1" thickBot="1" x14ac:dyDescent="0.3">
      <c r="A20" s="178" t="str">
        <f>'Rozpis úklidu'!A18</f>
        <v>místnost s popelnicemi</v>
      </c>
      <c r="B20" s="179">
        <f>'Rozpis úklidu'!D18*'Rozpis úklidu'!G18</f>
        <v>1</v>
      </c>
      <c r="C20" s="180">
        <f>IF('Rozpis úklidu'!N18=0,'Rozpis úklidu'!M18*B20/60,'Rozpis úklidu'!N18*B20/60)</f>
        <v>0.33333333333333331</v>
      </c>
      <c r="D20" s="181" t="str">
        <f>'Rozpis úklidu'!L18</f>
        <v>Úklidová činnost č. 3 + odpad kolem popelnic uklidit do popelnic</v>
      </c>
      <c r="E20" s="182">
        <f>'Rozpis úklidu'!P18*F20</f>
        <v>0</v>
      </c>
      <c r="F20" s="183">
        <f t="shared" ref="F20" si="1">B20</f>
        <v>1</v>
      </c>
      <c r="G20" s="184">
        <f>IF(F20&lt;B20,(B20-F20)*('Rozpis úklidu'!P18)*2,0)</f>
        <v>0</v>
      </c>
      <c r="H20" s="185"/>
    </row>
    <row r="21" spans="1:11" ht="51" customHeight="1" thickBot="1" x14ac:dyDescent="0.3">
      <c r="A21" s="129" t="s">
        <v>116</v>
      </c>
      <c r="B21" s="130">
        <f>'Základní údaje'!B11</f>
        <v>0</v>
      </c>
      <c r="C21" s="131">
        <f>F21/60</f>
        <v>0</v>
      </c>
      <c r="D21" s="132"/>
      <c r="E21" s="133">
        <f>B21/60*F21</f>
        <v>0</v>
      </c>
      <c r="F21" s="134"/>
      <c r="G21" s="135">
        <v>0</v>
      </c>
      <c r="H21" s="95"/>
    </row>
    <row r="22" spans="1:11" ht="36" customHeight="1" thickBot="1" x14ac:dyDescent="0.3">
      <c r="A22" s="136" t="s">
        <v>202</v>
      </c>
      <c r="B22" s="137">
        <f>(C22+C55+C65)/7</f>
        <v>2.532261904761905</v>
      </c>
      <c r="C22" s="138">
        <f>SUM(C5:C21)</f>
        <v>15.716666666666665</v>
      </c>
      <c r="D22" s="139" t="s">
        <v>98</v>
      </c>
      <c r="E22" s="140">
        <f>SUM(E5:E21)</f>
        <v>0</v>
      </c>
      <c r="F22" s="141"/>
      <c r="G22" s="142">
        <f>SUM(G5:G21)</f>
        <v>0</v>
      </c>
      <c r="H22" s="96">
        <f>E22*21+E55*4+E65</f>
        <v>0</v>
      </c>
      <c r="K22" s="92"/>
    </row>
    <row r="23" spans="1:11" ht="63.75" customHeight="1" thickBot="1" x14ac:dyDescent="0.35">
      <c r="A23" s="143" t="s">
        <v>96</v>
      </c>
      <c r="B23" s="144"/>
      <c r="C23" s="144"/>
      <c r="D23" s="145" t="s">
        <v>97</v>
      </c>
      <c r="E23" s="145"/>
      <c r="F23" s="145"/>
      <c r="G23" s="145"/>
      <c r="H23" s="78"/>
    </row>
    <row r="24" spans="1:11" x14ac:dyDescent="0.25">
      <c r="A24" s="146"/>
      <c r="B24" s="146"/>
      <c r="C24" s="146"/>
      <c r="D24" s="147"/>
      <c r="E24" s="147"/>
      <c r="F24" s="147"/>
      <c r="G24" s="147"/>
      <c r="H24" s="146"/>
    </row>
    <row r="25" spans="1:11" ht="21.75" thickBot="1" x14ac:dyDescent="0.4">
      <c r="A25" s="98" t="s">
        <v>93</v>
      </c>
      <c r="D25" s="99" t="str">
        <f>'Rozpis úklidu'!$A$1</f>
        <v>kolej: Rooseveltova, VŠE</v>
      </c>
    </row>
    <row r="26" spans="1:11" ht="16.5" thickBot="1" x14ac:dyDescent="0.3">
      <c r="A26" s="100" t="s">
        <v>95</v>
      </c>
      <c r="B26" s="148">
        <f ca="1">WEEKNUM(TODAY(),1)</f>
        <v>16</v>
      </c>
      <c r="C26" s="148"/>
      <c r="D26" s="71">
        <f ca="1">(NOW())</f>
        <v>46127.699021643515</v>
      </c>
      <c r="E26" s="101"/>
      <c r="F26" s="101"/>
      <c r="G26" s="101"/>
      <c r="H26" s="102"/>
    </row>
    <row r="27" spans="1:11" ht="58.5" customHeight="1" thickBot="1" x14ac:dyDescent="0.3">
      <c r="A27" s="103" t="str">
        <f>'Rozpis úklidu'!$A$3</f>
        <v>Úklidová jednotka</v>
      </c>
      <c r="B27" s="104" t="s">
        <v>200</v>
      </c>
      <c r="C27" s="104" t="s">
        <v>199</v>
      </c>
      <c r="D27" s="105" t="str">
        <f>'Rozpis úklidu'!$L$3</f>
        <v>Popis činnosti</v>
      </c>
      <c r="E27" s="106" t="str">
        <f>'Rozpis úklidu'!$Q$3</f>
        <v>cena celkem za všechny úklidové jednotky 
(prac. dny)
[Kč]</v>
      </c>
      <c r="F27" s="106" t="s">
        <v>100</v>
      </c>
      <c r="G27" s="106" t="s">
        <v>99</v>
      </c>
      <c r="H27" s="107" t="s">
        <v>3</v>
      </c>
    </row>
    <row r="28" spans="1:11" ht="36" customHeight="1" x14ac:dyDescent="0.25">
      <c r="A28" s="149" t="str">
        <f>'Rozpis úklidu'!A20</f>
        <v>obyvák</v>
      </c>
      <c r="B28" s="150">
        <f>'Rozpis úklidu'!D20*'Rozpis úklidu'!G20</f>
        <v>1</v>
      </c>
      <c r="C28" s="110">
        <f>IF('Rozpis úklidu'!N20=0,'Rozpis úklidu'!M20*B28/60,'Rozpis úklidu'!N20*B28/60)</f>
        <v>0.66666666666666663</v>
      </c>
      <c r="D28" s="151" t="str">
        <f>'Rozpis úklidu'!L20</f>
        <v>Úklidová činnost č. 3</v>
      </c>
      <c r="E28" s="112">
        <f>'Rozpis úklidu'!P20*F28</f>
        <v>0</v>
      </c>
      <c r="F28" s="175">
        <f>B28</f>
        <v>1</v>
      </c>
      <c r="G28" s="152">
        <f>IF(F28&lt;B28,(B28-F28)*('Rozpis úklidu'!P20)*2,0)</f>
        <v>0</v>
      </c>
      <c r="H28" s="79"/>
    </row>
    <row r="29" spans="1:11" ht="36" customHeight="1" x14ac:dyDescent="0.25">
      <c r="A29" s="120" t="str">
        <f>'Rozpis úklidu'!A21</f>
        <v>herní místnost</v>
      </c>
      <c r="B29" s="125">
        <f>'Rozpis úklidu'!D21*'Rozpis úklidu'!G21</f>
        <v>1</v>
      </c>
      <c r="C29" s="126">
        <f>IF('Rozpis úklidu'!N21=0,'Rozpis úklidu'!M21*B29/60,'Rozpis úklidu'!N21*B29/60)</f>
        <v>0.5</v>
      </c>
      <c r="D29" s="7" t="str">
        <f>'Rozpis úklidu'!L21</f>
        <v>Úklidová činnost č. 3</v>
      </c>
      <c r="E29" s="127">
        <f>'Rozpis úklidu'!P21*F29</f>
        <v>0</v>
      </c>
      <c r="F29" s="174">
        <f t="shared" ref="F29:F36" si="2">B29</f>
        <v>1</v>
      </c>
      <c r="G29" s="128">
        <f>IF(F29&lt;B29,(B29-F29)*('Rozpis úklidu'!P21)*2,0)</f>
        <v>0</v>
      </c>
      <c r="H29" s="33"/>
    </row>
    <row r="30" spans="1:11" ht="36" customHeight="1" x14ac:dyDescent="0.25">
      <c r="A30" s="120" t="str">
        <f>'Rozpis úklidu'!A22</f>
        <v>výtah velký - čištění drážek dveří</v>
      </c>
      <c r="B30" s="125">
        <f>'Rozpis úklidu'!D22*'Rozpis úklidu'!G22</f>
        <v>8</v>
      </c>
      <c r="C30" s="126">
        <f>IF('Rozpis úklidu'!N22=0,'Rozpis úklidu'!M22*B30/60,'Rozpis úklidu'!N22*B30/60)</f>
        <v>0.66666666666666663</v>
      </c>
      <c r="D30" s="7" t="str">
        <f>'Rozpis úklidu'!L22</f>
        <v>vyluxování drážek dveří v každém patře</v>
      </c>
      <c r="E30" s="127">
        <f>'Rozpis úklidu'!P22*F30</f>
        <v>0</v>
      </c>
      <c r="F30" s="174">
        <f t="shared" si="2"/>
        <v>8</v>
      </c>
      <c r="G30" s="128">
        <f>IF(F30&lt;B30,(B30-F30)*('Rozpis úklidu'!P22)*2,0)</f>
        <v>0</v>
      </c>
      <c r="H30" s="33"/>
    </row>
    <row r="31" spans="1:11" ht="36" customHeight="1" x14ac:dyDescent="0.25">
      <c r="A31" s="120" t="str">
        <f>'Rozpis úklidu'!A23</f>
        <v>výtah malý - čištění drážek dveří</v>
      </c>
      <c r="B31" s="125">
        <f>'Rozpis úklidu'!D23*'Rozpis úklidu'!G23</f>
        <v>8</v>
      </c>
      <c r="C31" s="126">
        <f>IF('Rozpis úklidu'!N23=0,'Rozpis úklidu'!M23*B31/60,'Rozpis úklidu'!N23*B31/60)</f>
        <v>0.66666666666666663</v>
      </c>
      <c r="D31" s="7" t="str">
        <f>'Rozpis úklidu'!L23</f>
        <v>vyluxování drážek dveří v každém patře</v>
      </c>
      <c r="E31" s="127">
        <f>'Rozpis úklidu'!P23*F31</f>
        <v>0</v>
      </c>
      <c r="F31" s="174">
        <f t="shared" si="2"/>
        <v>8</v>
      </c>
      <c r="G31" s="128">
        <f>IF(F31&lt;B31,(B31-F31)*('Rozpis úklidu'!P23)*2,0)</f>
        <v>0</v>
      </c>
      <c r="H31" s="33"/>
    </row>
    <row r="32" spans="1:11" ht="36" customHeight="1" x14ac:dyDescent="0.25">
      <c r="A32" s="120" t="str">
        <f>'Rozpis úklidu'!A24</f>
        <v>přilehlé zábradlí</v>
      </c>
      <c r="B32" s="125">
        <f>'Rozpis úklidu'!D24*'Rozpis úklidu'!G24</f>
        <v>21</v>
      </c>
      <c r="C32" s="126">
        <f>IF('Rozpis úklidu'!N24=0,'Rozpis úklidu'!M24*B32/60,'Rozpis úklidu'!N24*B32/60)</f>
        <v>2.8</v>
      </c>
      <c r="D32" s="7" t="str">
        <f>'Rozpis úklidu'!L24</f>
        <v>otřít zabradlí a parapet a utřít prach, odstranit pavučiny</v>
      </c>
      <c r="E32" s="127">
        <f>'Rozpis úklidu'!P24*F32</f>
        <v>0</v>
      </c>
      <c r="F32" s="174">
        <f t="shared" si="2"/>
        <v>21</v>
      </c>
      <c r="G32" s="128">
        <f>IF(F32&lt;B32,(B32-F32)*('Rozpis úklidu'!P24)*2,0)</f>
        <v>0</v>
      </c>
      <c r="H32" s="33"/>
    </row>
    <row r="33" spans="1:8" ht="36" customHeight="1" x14ac:dyDescent="0.25">
      <c r="A33" s="120" t="str">
        <f>'Rozpis úklidu'!A25</f>
        <v>tělocvična</v>
      </c>
      <c r="B33" s="125">
        <f>'Rozpis úklidu'!D25*'Rozpis úklidu'!G25</f>
        <v>1</v>
      </c>
      <c r="C33" s="126">
        <f>IF('Rozpis úklidu'!N25=0,'Rozpis úklidu'!M25*B33/60,'Rozpis úklidu'!N25*B33/60)</f>
        <v>0.5</v>
      </c>
      <c r="D33" s="7" t="str">
        <f>'Rozpis úklidu'!L25</f>
        <v>Úklidová činnost č. 3</v>
      </c>
      <c r="E33" s="127">
        <f>'Rozpis úklidu'!P25*F33</f>
        <v>0</v>
      </c>
      <c r="F33" s="174">
        <f t="shared" si="2"/>
        <v>1</v>
      </c>
      <c r="G33" s="128">
        <f>IF(F33&lt;B33,(B33-F33)*('Rozpis úklidu'!P25)*2,0)</f>
        <v>0</v>
      </c>
      <c r="H33" s="33"/>
    </row>
    <row r="34" spans="1:8" ht="36" customHeight="1" x14ac:dyDescent="0.25">
      <c r="A34" s="120" t="str">
        <f>'Rozpis úklidu'!A26</f>
        <v>místnost úklízeček a úklid.prost.</v>
      </c>
      <c r="B34" s="125">
        <f>'Rozpis úklidu'!D26*'Rozpis úklidu'!G26</f>
        <v>1</v>
      </c>
      <c r="C34" s="126">
        <f>IF('Rozpis úklidu'!N26=0,'Rozpis úklidu'!M26*B34/60,'Rozpis úklidu'!N26*B34/60)</f>
        <v>0.25</v>
      </c>
      <c r="D34" s="7" t="str">
        <f>'Rozpis úklidu'!L26</f>
        <v>Úklidová činnost č. 3</v>
      </c>
      <c r="E34" s="127">
        <f>'Rozpis úklidu'!P26*F34</f>
        <v>0</v>
      </c>
      <c r="F34" s="174">
        <f t="shared" si="2"/>
        <v>1</v>
      </c>
      <c r="G34" s="128">
        <f>IF(F34&lt;B34,(B34-F34)*('Rozpis úklidu'!P26)*2,0)</f>
        <v>0</v>
      </c>
      <c r="H34" s="33"/>
    </row>
    <row r="35" spans="1:8" ht="36" customHeight="1" x14ac:dyDescent="0.25">
      <c r="A35" s="120" t="str">
        <f>'Rozpis úklidu'!A27</f>
        <v xml:space="preserve">uklízečky soc. zařízení </v>
      </c>
      <c r="B35" s="125">
        <f>'Rozpis úklidu'!D27*'Rozpis úklidu'!G27</f>
        <v>3</v>
      </c>
      <c r="C35" s="126">
        <f>IF('Rozpis úklidu'!N27=0,'Rozpis úklidu'!M27*B35/60,'Rozpis úklidu'!N27*B35/60)</f>
        <v>0.15</v>
      </c>
      <c r="D35" s="7" t="str">
        <f>'Rozpis úklidu'!L27</f>
        <v>Úklidová činnost č. 14 a 15</v>
      </c>
      <c r="E35" s="127">
        <f>'Rozpis úklidu'!P27*F35</f>
        <v>0</v>
      </c>
      <c r="F35" s="174">
        <f t="shared" si="2"/>
        <v>3</v>
      </c>
      <c r="G35" s="128">
        <f>IF(F35&lt;B35,(B35-F35)*('Rozpis úklidu'!P27)*2,0)</f>
        <v>0</v>
      </c>
      <c r="H35" s="33"/>
    </row>
    <row r="36" spans="1:8" ht="36" customHeight="1" x14ac:dyDescent="0.25">
      <c r="A36" s="120" t="str">
        <f>'Rozpis úklidu'!A28</f>
        <v>balkon</v>
      </c>
      <c r="B36" s="125">
        <f>'Rozpis úklidu'!D28*'Rozpis úklidu'!G28</f>
        <v>18</v>
      </c>
      <c r="C36" s="126">
        <f>IF('Rozpis úklidu'!N28=0,'Rozpis úklidu'!M28*B36/60,'Rozpis úklidu'!N28*B36/60)</f>
        <v>2.1</v>
      </c>
      <c r="D36" s="7" t="str">
        <f>'Rozpis úklidu'!L28</f>
        <v>Úklidová činnost č. 2</v>
      </c>
      <c r="E36" s="127">
        <f>'Rozpis úklidu'!P28*F36</f>
        <v>0</v>
      </c>
      <c r="F36" s="174">
        <f t="shared" si="2"/>
        <v>18</v>
      </c>
      <c r="G36" s="128">
        <f>IF(F36&lt;B36,(B36-F36)*('Rozpis úklidu'!P28)*2,0)</f>
        <v>0</v>
      </c>
      <c r="H36" s="33"/>
    </row>
    <row r="37" spans="1:8" ht="36" customHeight="1" x14ac:dyDescent="0.25">
      <c r="A37" s="120" t="str">
        <f>'Rozpis úklidu'!A29</f>
        <v>kolárna</v>
      </c>
      <c r="B37" s="125">
        <f>'Rozpis úklidu'!D29*'Rozpis úklidu'!G29</f>
        <v>1</v>
      </c>
      <c r="C37" s="126">
        <f>IF('Rozpis úklidu'!N29=0,'Rozpis úklidu'!M29*B37/60,'Rozpis úklidu'!N29*B37/60)</f>
        <v>0.25</v>
      </c>
      <c r="D37" s="7" t="str">
        <f>'Rozpis úklidu'!L29</f>
        <v>Úklidová činnost č. 3</v>
      </c>
      <c r="E37" s="127">
        <f>'Rozpis úklidu'!P29*F37</f>
        <v>0</v>
      </c>
      <c r="F37" s="174">
        <f t="shared" ref="F37" si="3">B37</f>
        <v>1</v>
      </c>
      <c r="G37" s="128">
        <f>IF(F37&lt;B37,(B37-F37)*('Rozpis úklidu'!P29)*2,0)</f>
        <v>0</v>
      </c>
      <c r="H37" s="33"/>
    </row>
    <row r="38" spans="1:8" ht="36" customHeight="1" x14ac:dyDescent="0.25">
      <c r="A38" s="120" t="str">
        <f>CONCATENATE('Rozpis úklidu'!A60," / (",'Rozpis úklidu'!F60,")")</f>
        <v>terasa / (sezonně)</v>
      </c>
      <c r="B38" s="171">
        <v>0</v>
      </c>
      <c r="C38" s="126">
        <f>IF('Rozpis úklidu'!N60=0,'Rozpis úklidu'!M60*B38/60,'Rozpis úklidu'!N60*B38/60)</f>
        <v>0</v>
      </c>
      <c r="D38" s="7" t="str">
        <f>'Rozpis úklidu'!L60</f>
        <v>zamést podlahu, vynést odpadky, umýt dveře včetně zárubní, otřít a urovnat nábytek</v>
      </c>
      <c r="E38" s="127">
        <f>'Rozpis úklidu'!P60*F38</f>
        <v>0</v>
      </c>
      <c r="F38" s="174">
        <f>B38</f>
        <v>0</v>
      </c>
      <c r="G38" s="128">
        <f>IF(F38&lt;B38,(B38-F38)*('Rozpis úklidu'!P60)*2,0)</f>
        <v>0</v>
      </c>
      <c r="H38" s="33"/>
    </row>
    <row r="39" spans="1:8" ht="36" customHeight="1" x14ac:dyDescent="0.25">
      <c r="A39" s="120" t="str">
        <f>CONCATENATE('Rozpis úklidu'!A49," / (",'Rozpis úklidu'!F49,")"," (",'Rozpis úklidu'!D49,")")</f>
        <v>Okna (různé velikosti) / (ročně) (323)</v>
      </c>
      <c r="B39" s="171">
        <v>0</v>
      </c>
      <c r="C39" s="126">
        <f>IF('Rozpis úklidu'!N49=0,'Rozpis úklidu'!M49*B39/60,'Rozpis úklidu'!N49*B39/60)</f>
        <v>0</v>
      </c>
      <c r="D39" s="7" t="str">
        <f>'Rozpis úklidu'!L49</f>
        <v>Úklidová činnost č. 12</v>
      </c>
      <c r="E39" s="127">
        <f>'Rozpis úklidu'!P49*F39</f>
        <v>0</v>
      </c>
      <c r="F39" s="174">
        <f t="shared" ref="F39:F54" si="4">B39</f>
        <v>0</v>
      </c>
      <c r="G39" s="128">
        <f>IF(F39&lt;B39,(B39-F39)*('Rozpis úklidu'!P49)*2,0)</f>
        <v>0</v>
      </c>
      <c r="H39" s="33"/>
    </row>
    <row r="40" spans="1:8" ht="36" customHeight="1" x14ac:dyDescent="0.25">
      <c r="A40" s="120" t="str">
        <f>CONCATENATE('Rozpis úklidu'!A30," (",'Rozpis úklidu'!D30*'Rozpis úklidu'!G30,")")</f>
        <v>dvoulůžkový pokoj- buňka -  HOTEL (4)</v>
      </c>
      <c r="B40" s="171">
        <v>0</v>
      </c>
      <c r="C40" s="126">
        <f>IF('Rozpis úklidu'!N30=0,'Rozpis úklidu'!M30*B40/60,'Rozpis úklidu'!N30*B40/60)</f>
        <v>0</v>
      </c>
      <c r="D40" s="7" t="str">
        <f>CONCATENATE('Rozpis úklidu'!L30," (po odjezdu)")</f>
        <v>Úklidová činnost č. 8 (po odjezdu)</v>
      </c>
      <c r="E40" s="127">
        <f>'Rozpis úklidu'!P30*F40</f>
        <v>0</v>
      </c>
      <c r="F40" s="174">
        <f t="shared" si="4"/>
        <v>0</v>
      </c>
      <c r="G40" s="128">
        <f>IF(F40&lt;B40,(B40-F40)*('Rozpis úklidu'!P30)*2,0)</f>
        <v>0</v>
      </c>
      <c r="H40" s="33"/>
    </row>
    <row r="41" spans="1:8" ht="36" customHeight="1" x14ac:dyDescent="0.25">
      <c r="A41" s="120" t="str">
        <f>CONCATENATE('Rozpis úklidu'!A31," (",'Rozpis úklidu'!D31*'Rozpis úklidu'!G31,")")</f>
        <v>jedolůžkový pokoj- buňka -  HOTEL (1)</v>
      </c>
      <c r="B41" s="171">
        <v>0</v>
      </c>
      <c r="C41" s="126">
        <f>IF('Rozpis úklidu'!N31=0,'Rozpis úklidu'!M31*B41/60,'Rozpis úklidu'!N31*B41/60)</f>
        <v>0</v>
      </c>
      <c r="D41" s="7" t="str">
        <f>CONCATENATE('Rozpis úklidu'!L31," (po odjezdu)")</f>
        <v>Úklidová činnost č. 8 (po odjezdu)</v>
      </c>
      <c r="E41" s="127">
        <f>'Rozpis úklidu'!P31*F41</f>
        <v>0</v>
      </c>
      <c r="F41" s="174">
        <f t="shared" si="4"/>
        <v>0</v>
      </c>
      <c r="G41" s="128">
        <f>IF(F41&lt;B41,(B41-F41)*('Rozpis úklidu'!P31)*2,0)</f>
        <v>0</v>
      </c>
      <c r="H41" s="33"/>
    </row>
    <row r="42" spans="1:8" ht="36" customHeight="1" x14ac:dyDescent="0.25">
      <c r="A42" s="120" t="str">
        <f>CONCATENATE('Rozpis úklidu'!A32," (",'Rozpis úklidu'!D32*'Rozpis úklidu'!G32,")")</f>
        <v>třílůžkový pokoj- buňka -  HOTEL (1)</v>
      </c>
      <c r="B42" s="171">
        <v>0</v>
      </c>
      <c r="C42" s="126">
        <f>IF('Rozpis úklidu'!N32=0,'Rozpis úklidu'!M32*B42/60,'Rozpis úklidu'!N32*B42/60)</f>
        <v>0</v>
      </c>
      <c r="D42" s="7" t="str">
        <f>CONCATENATE('Rozpis úklidu'!L32," (po odjezdu)")</f>
        <v>Úklidová činnost č. 8 (po odjezdu)</v>
      </c>
      <c r="E42" s="127">
        <f>'Rozpis úklidu'!P32*F42</f>
        <v>0</v>
      </c>
      <c r="F42" s="174">
        <f t="shared" ref="F42" si="5">B42</f>
        <v>0</v>
      </c>
      <c r="G42" s="128">
        <f>IF(F42&lt;B42,(B42-F42)*('Rozpis úklidu'!P32)*2,0)</f>
        <v>0</v>
      </c>
      <c r="H42" s="33"/>
    </row>
    <row r="43" spans="1:8" ht="36" customHeight="1" x14ac:dyDescent="0.25">
      <c r="A43" s="120" t="str">
        <f>CONCATENATE('Rozpis úklidu'!A33," (",'Rozpis úklidu'!D33*'Rozpis úklidu'!G33,")")</f>
        <v>dvoulůžkový pokoj- buňka -  HOTEL (4)</v>
      </c>
      <c r="B43" s="171">
        <v>0</v>
      </c>
      <c r="C43" s="126">
        <f>IF('Rozpis úklidu'!N33=0,'Rozpis úklidu'!M33*B43/60,'Rozpis úklidu'!N33*B43/60)</f>
        <v>0</v>
      </c>
      <c r="D43" s="7" t="str">
        <f>CONCATENATE('Rozpis úklidu'!L33," (v průběhu pobytu)")</f>
        <v>Úklidová činnost č. 9 (v průběhu pobytu)</v>
      </c>
      <c r="E43" s="127">
        <f>'Rozpis úklidu'!P33*F43</f>
        <v>0</v>
      </c>
      <c r="F43" s="174">
        <f t="shared" si="4"/>
        <v>0</v>
      </c>
      <c r="G43" s="128">
        <f>IF(F43&lt;B43,(B43-F43)*('Rozpis úklidu'!P33)*2,0)</f>
        <v>0</v>
      </c>
      <c r="H43" s="33"/>
    </row>
    <row r="44" spans="1:8" ht="36" customHeight="1" x14ac:dyDescent="0.25">
      <c r="A44" s="120" t="str">
        <f>CONCATENATE('Rozpis úklidu'!A34," (",'Rozpis úklidu'!D34*'Rozpis úklidu'!G34,")")</f>
        <v>jedolůžkový pokoj- buňka -  HOTEL (1)</v>
      </c>
      <c r="B44" s="171">
        <v>0</v>
      </c>
      <c r="C44" s="126">
        <f>IF('Rozpis úklidu'!N34=0,'Rozpis úklidu'!M34*B44/60,'Rozpis úklidu'!N34*B44/60)</f>
        <v>0</v>
      </c>
      <c r="D44" s="7" t="str">
        <f>CONCATENATE('Rozpis úklidu'!L34," (v průběhu pobytu)")</f>
        <v>Úklidová činnost č. 9 (v průběhu pobytu)</v>
      </c>
      <c r="E44" s="127">
        <f>'Rozpis úklidu'!P34*F44</f>
        <v>0</v>
      </c>
      <c r="F44" s="174">
        <f t="shared" si="4"/>
        <v>0</v>
      </c>
      <c r="G44" s="128">
        <f>IF(F44&lt;B44,(B44-F44)*('Rozpis úklidu'!P34)*2,0)</f>
        <v>0</v>
      </c>
      <c r="H44" s="33"/>
    </row>
    <row r="45" spans="1:8" ht="36" customHeight="1" x14ac:dyDescent="0.25">
      <c r="A45" s="120" t="str">
        <f>CONCATENATE('Rozpis úklidu'!A35," (",'Rozpis úklidu'!D35*'Rozpis úklidu'!G35,")")</f>
        <v>třílůžkový pokoj- buňka -  HOTEL (1)</v>
      </c>
      <c r="B45" s="171">
        <v>0</v>
      </c>
      <c r="C45" s="126">
        <f>IF('Rozpis úklidu'!N35=0,'Rozpis úklidu'!M35*B45/60,'Rozpis úklidu'!N35*B45/60)</f>
        <v>0</v>
      </c>
      <c r="D45" s="7" t="str">
        <f>CONCATENATE('Rozpis úklidu'!L35," (v průběhu pobytu)")</f>
        <v>Úklidová činnost č. 9 (v průběhu pobytu)</v>
      </c>
      <c r="E45" s="127">
        <f>'Rozpis úklidu'!P35*F45</f>
        <v>0</v>
      </c>
      <c r="F45" s="174">
        <f t="shared" ref="F45" si="6">B45</f>
        <v>0</v>
      </c>
      <c r="G45" s="128">
        <f>IF(F45&lt;B45,(B45-F45)*('Rozpis úklidu'!P35)*2,0)</f>
        <v>0</v>
      </c>
      <c r="H45" s="33"/>
    </row>
    <row r="46" spans="1:8" ht="36" customHeight="1" x14ac:dyDescent="0.25">
      <c r="A46" s="120" t="str">
        <f>CONCATENATE('Rozpis úklidu'!A36," (",'Rozpis úklidu'!D36*'Rozpis úklidu'!G36,")")</f>
        <v>chodba+kuchyňka- buňka -  HOTEL (1)</v>
      </c>
      <c r="B46" s="171">
        <v>0</v>
      </c>
      <c r="C46" s="126">
        <f>IF('Rozpis úklidu'!N36=0,'Rozpis úklidu'!M36*B46/60,'Rozpis úklidu'!N36*B46/60)</f>
        <v>0</v>
      </c>
      <c r="D46" s="7" t="str">
        <f>'Rozpis úklidu'!L36</f>
        <v>Úklidová činnost č. 5</v>
      </c>
      <c r="E46" s="127">
        <f>'Rozpis úklidu'!P36*F46</f>
        <v>0</v>
      </c>
      <c r="F46" s="174">
        <f t="shared" si="4"/>
        <v>0</v>
      </c>
      <c r="G46" s="128">
        <f>IF(F46&lt;B46,(B46-F46)*('Rozpis úklidu'!P36)*2,0)</f>
        <v>0</v>
      </c>
      <c r="H46" s="33"/>
    </row>
    <row r="47" spans="1:8" ht="36" customHeight="1" x14ac:dyDescent="0.25">
      <c r="A47" s="120" t="str">
        <f>CONCATENATE('Rozpis úklidu'!A37," (",'Rozpis úklidu'!D37*'Rozpis úklidu'!G37,")")</f>
        <v>sprcha - buňka -  HOTEL (4)</v>
      </c>
      <c r="B47" s="171">
        <v>0</v>
      </c>
      <c r="C47" s="126">
        <f>IF('Rozpis úklidu'!N37=0,'Rozpis úklidu'!M37*B47/60,'Rozpis úklidu'!N37*B47/60)</f>
        <v>0</v>
      </c>
      <c r="D47" s="7" t="str">
        <f>'Rozpis úklidu'!L37</f>
        <v>Úklidová činnost č. 15</v>
      </c>
      <c r="E47" s="127">
        <f>'Rozpis úklidu'!P37*F47</f>
        <v>0</v>
      </c>
      <c r="F47" s="174">
        <f t="shared" si="4"/>
        <v>0</v>
      </c>
      <c r="G47" s="128">
        <f>IF(F47&lt;B47,(B47-F47)*('Rozpis úklidu'!P37)*2,0)</f>
        <v>0</v>
      </c>
      <c r="H47" s="33"/>
    </row>
    <row r="48" spans="1:8" ht="36" customHeight="1" x14ac:dyDescent="0.25">
      <c r="A48" s="120" t="str">
        <f>CONCATENATE('Rozpis úklidu'!A38," (",'Rozpis úklidu'!D38*'Rozpis úklidu'!G38,")")</f>
        <v>WC - buňka -  HOTEL (4)</v>
      </c>
      <c r="B48" s="171">
        <v>0</v>
      </c>
      <c r="C48" s="126">
        <f>IF('Rozpis úklidu'!N38=0,'Rozpis úklidu'!M38*B48/60,'Rozpis úklidu'!N38*B48/60)</f>
        <v>0</v>
      </c>
      <c r="D48" s="7" t="str">
        <f>'Rozpis úklidu'!L38</f>
        <v>Úklidová činnost č. 14</v>
      </c>
      <c r="E48" s="127">
        <f>'Rozpis úklidu'!P38*F48</f>
        <v>0</v>
      </c>
      <c r="F48" s="174">
        <f t="shared" si="4"/>
        <v>0</v>
      </c>
      <c r="G48" s="128">
        <f>IF(F48&lt;B48,(B48-F48)*('Rozpis úklidu'!P38)*2,0)</f>
        <v>0</v>
      </c>
      <c r="H48" s="33"/>
    </row>
    <row r="49" spans="1:12" ht="36" customHeight="1" x14ac:dyDescent="0.25">
      <c r="A49" s="120" t="str">
        <f>CONCATENATE('Rozpis úklidu'!A39," (",'Rozpis úklidu'!D39*'Rozpis úklidu'!G39,")")</f>
        <v>jednolůžkový samostatný -  HOTEL (1)</v>
      </c>
      <c r="B49" s="171">
        <v>0</v>
      </c>
      <c r="C49" s="126">
        <f>IF('Rozpis úklidu'!N39=0,'Rozpis úklidu'!M39*B49/60,'Rozpis úklidu'!N39*B49/60)</f>
        <v>0</v>
      </c>
      <c r="D49" s="7" t="str">
        <f>CONCATENATE('Rozpis úklidu'!L39," (po odjezdu)")</f>
        <v>Úklidová činnost č. 8 (po odjezdu)</v>
      </c>
      <c r="E49" s="127">
        <f>'Rozpis úklidu'!P39*F49</f>
        <v>0</v>
      </c>
      <c r="F49" s="174">
        <f t="shared" si="4"/>
        <v>0</v>
      </c>
      <c r="G49" s="128">
        <f>IF(F49&lt;B49,(B49-F49)*('Rozpis úklidu'!P39)*2,0)</f>
        <v>0</v>
      </c>
      <c r="H49" s="33"/>
    </row>
    <row r="50" spans="1:12" ht="36" customHeight="1" x14ac:dyDescent="0.25">
      <c r="A50" s="120" t="str">
        <f>CONCATENATE('Rozpis úklidu'!A40," (",'Rozpis úklidu'!D40*'Rozpis úklidu'!G40,")")</f>
        <v>dvoulůžkový samostatný -  HOTEL (2)</v>
      </c>
      <c r="B50" s="171">
        <v>0</v>
      </c>
      <c r="C50" s="126">
        <f>IF('Rozpis úklidu'!N40=0,'Rozpis úklidu'!M40*B50/60,'Rozpis úklidu'!N40*B50/60)</f>
        <v>0</v>
      </c>
      <c r="D50" s="7" t="str">
        <f>CONCATENATE('Rozpis úklidu'!L40," (po odjezdu)")</f>
        <v>Úklidová činnost č. 8 (po odjezdu)</v>
      </c>
      <c r="E50" s="127">
        <f>'Rozpis úklidu'!P40*F50</f>
        <v>0</v>
      </c>
      <c r="F50" s="174">
        <f t="shared" si="4"/>
        <v>0</v>
      </c>
      <c r="G50" s="128">
        <f>IF(F50&lt;B50,(B50-F50)*('Rozpis úklidu'!P40)*2,0)</f>
        <v>0</v>
      </c>
      <c r="H50" s="33"/>
    </row>
    <row r="51" spans="1:12" ht="36" customHeight="1" x14ac:dyDescent="0.25">
      <c r="A51" s="120" t="str">
        <f>CONCATENATE('Rozpis úklidu'!A41," (",'Rozpis úklidu'!D41*'Rozpis úklidu'!G41,")")</f>
        <v>trojlůžkový samostatný -  HOTEL (1)</v>
      </c>
      <c r="B51" s="171">
        <v>0</v>
      </c>
      <c r="C51" s="126">
        <f>IF('Rozpis úklidu'!N41=0,'Rozpis úklidu'!M41*B51/60,'Rozpis úklidu'!N41*B51/60)</f>
        <v>0</v>
      </c>
      <c r="D51" s="7" t="str">
        <f>CONCATENATE('Rozpis úklidu'!L41," (po odjezdu)")</f>
        <v>Úklidová činnost č. 8 (po odjezdu)</v>
      </c>
      <c r="E51" s="127">
        <f>'Rozpis úklidu'!P41*F51</f>
        <v>0</v>
      </c>
      <c r="F51" s="174">
        <f t="shared" si="4"/>
        <v>0</v>
      </c>
      <c r="G51" s="128">
        <f>IF(F51&lt;B51,(B51-F51)*('Rozpis úklidu'!P41)*2,0)</f>
        <v>0</v>
      </c>
      <c r="H51" s="33"/>
    </row>
    <row r="52" spans="1:12" ht="36" customHeight="1" x14ac:dyDescent="0.25">
      <c r="A52" s="114" t="str">
        <f>CONCATENATE('Rozpis úklidu'!A42," (",'Rozpis úklidu'!D42*'Rozpis úklidu'!G42,")")</f>
        <v>jednolůžkový samostatný -  HOTEL (1)</v>
      </c>
      <c r="B52" s="172">
        <v>0</v>
      </c>
      <c r="C52" s="153">
        <f>IF('Rozpis úklidu'!N42=0,'Rozpis úklidu'!M42*B52/60,'Rozpis úklidu'!N42*B52/60)</f>
        <v>0</v>
      </c>
      <c r="D52" s="117" t="str">
        <f>CONCATENATE('Rozpis úklidu'!L42," (v průběhu pobytu)")</f>
        <v>Úklidová činnost č. 9 (v průběhu pobytu)</v>
      </c>
      <c r="E52" s="154">
        <f>'Rozpis úklidu'!P42*F52</f>
        <v>0</v>
      </c>
      <c r="F52" s="176">
        <f t="shared" si="4"/>
        <v>0</v>
      </c>
      <c r="G52" s="155">
        <f>IF(F52&lt;B52,(B52-F52)*('Rozpis úklidu'!P42)*2,0)</f>
        <v>0</v>
      </c>
      <c r="H52" s="93"/>
    </row>
    <row r="53" spans="1:12" ht="36" customHeight="1" x14ac:dyDescent="0.25">
      <c r="A53" s="120" t="str">
        <f>CONCATENATE('Rozpis úklidu'!A43," (",'Rozpis úklidu'!D43*'Rozpis úklidu'!G43,")")</f>
        <v>dvoulůžkový samostatný -  HOTEL (2)</v>
      </c>
      <c r="B53" s="171">
        <v>0</v>
      </c>
      <c r="C53" s="126">
        <f>IF('Rozpis úklidu'!N43=0,'Rozpis úklidu'!M43*B53/60,'Rozpis úklidu'!N43*B53/60)</f>
        <v>0</v>
      </c>
      <c r="D53" s="7" t="str">
        <f>CONCATENATE('Rozpis úklidu'!L43," (v průběhu pobytu)")</f>
        <v>Úklidová činnost č. 9 (v průběhu pobytu)</v>
      </c>
      <c r="E53" s="127">
        <f>'Rozpis úklidu'!P43*F53</f>
        <v>0</v>
      </c>
      <c r="F53" s="174">
        <f t="shared" si="4"/>
        <v>0</v>
      </c>
      <c r="G53" s="128">
        <f>IF(F53&lt;B53,(B53-F53)*('Rozpis úklidu'!P43)*2,0)</f>
        <v>0</v>
      </c>
      <c r="H53" s="33"/>
    </row>
    <row r="54" spans="1:12" ht="36" customHeight="1" thickBot="1" x14ac:dyDescent="0.3">
      <c r="A54" s="156" t="str">
        <f>CONCATENATE('Rozpis úklidu'!A44," (",'Rozpis úklidu'!D44*'Rozpis úklidu'!G44,")")</f>
        <v>trojlůžkový samostatný -  HOTEL (1)</v>
      </c>
      <c r="B54" s="173">
        <v>0</v>
      </c>
      <c r="C54" s="157">
        <f>IF('Rozpis úklidu'!N44=0,'Rozpis úklidu'!M44*B54/60,'Rozpis úklidu'!N44*B54/60)</f>
        <v>0</v>
      </c>
      <c r="D54" s="158" t="str">
        <f>CONCATENATE('Rozpis úklidu'!L44," (v průběhu pobytu)")</f>
        <v>Úklidová činnost č. 9 (v průběhu pobytu)</v>
      </c>
      <c r="E54" s="159">
        <f>'Rozpis úklidu'!P44*F54</f>
        <v>0</v>
      </c>
      <c r="F54" s="177">
        <f t="shared" si="4"/>
        <v>0</v>
      </c>
      <c r="G54" s="160">
        <f>IF(F54&lt;B54,(B54-F54)*('Rozpis úklidu'!P44)*2,0)</f>
        <v>0</v>
      </c>
      <c r="H54" s="34"/>
    </row>
    <row r="55" spans="1:12" ht="36" customHeight="1" thickBot="1" x14ac:dyDescent="0.3">
      <c r="A55" s="161"/>
      <c r="B55" s="162" t="s">
        <v>201</v>
      </c>
      <c r="C55" s="138">
        <f>SUM(C28:C54)/5</f>
        <v>1.7099999999999997</v>
      </c>
      <c r="D55" s="139" t="s">
        <v>98</v>
      </c>
      <c r="E55" s="163">
        <f>SUM(E28:E54)</f>
        <v>0</v>
      </c>
      <c r="F55" s="141"/>
      <c r="G55" s="164">
        <f>SUM(G28:G54)</f>
        <v>0</v>
      </c>
      <c r="H55" s="72"/>
    </row>
    <row r="56" spans="1:12" ht="63.75" customHeight="1" thickBot="1" x14ac:dyDescent="0.35">
      <c r="A56" s="143" t="s">
        <v>96</v>
      </c>
      <c r="B56" s="144"/>
      <c r="C56" s="144"/>
      <c r="D56" s="145" t="s">
        <v>97</v>
      </c>
      <c r="E56" s="145"/>
      <c r="F56" s="145"/>
      <c r="G56" s="145"/>
      <c r="H56" s="78"/>
    </row>
    <row r="57" spans="1:12" x14ac:dyDescent="0.25">
      <c r="A57" s="146"/>
      <c r="B57" s="146"/>
      <c r="C57" s="146"/>
      <c r="D57" s="147"/>
      <c r="E57" s="147"/>
      <c r="F57" s="147"/>
      <c r="G57" s="147"/>
      <c r="H57" s="146"/>
      <c r="L57" s="21"/>
    </row>
    <row r="58" spans="1:12" ht="21.75" thickBot="1" x14ac:dyDescent="0.4">
      <c r="A58" s="98" t="s">
        <v>93</v>
      </c>
      <c r="D58" s="99" t="str">
        <f>'Rozpis úklidu'!$A$1</f>
        <v>kolej: Rooseveltova, VŠE</v>
      </c>
    </row>
    <row r="59" spans="1:12" ht="16.5" thickBot="1" x14ac:dyDescent="0.3">
      <c r="A59" s="100" t="s">
        <v>101</v>
      </c>
      <c r="B59" s="148">
        <f ca="1">MONTH(D59)</f>
        <v>4</v>
      </c>
      <c r="C59" s="148"/>
      <c r="D59" s="71">
        <f ca="1">NOW()</f>
        <v>46127.699021643515</v>
      </c>
      <c r="E59" s="101"/>
      <c r="F59" s="101"/>
      <c r="G59" s="101"/>
      <c r="H59" s="102"/>
    </row>
    <row r="60" spans="1:12" ht="60.75" thickBot="1" x14ac:dyDescent="0.3">
      <c r="A60" s="103" t="str">
        <f>'Rozpis úklidu'!$A$3</f>
        <v>Úklidová jednotka</v>
      </c>
      <c r="B60" s="104" t="str">
        <f>'Rozpis úklidu'!$D$3</f>
        <v>počet
úklidových jednotek</v>
      </c>
      <c r="C60" s="104" t="s">
        <v>199</v>
      </c>
      <c r="D60" s="105" t="str">
        <f>'Rozpis úklidu'!$L$3</f>
        <v>Popis činnosti</v>
      </c>
      <c r="E60" s="106" t="str">
        <f>'Rozpis úklidu'!$Q$3</f>
        <v>cena celkem za všechny úklidové jednotky 
(prac. dny)
[Kč]</v>
      </c>
      <c r="F60" s="106" t="s">
        <v>100</v>
      </c>
      <c r="G60" s="106" t="s">
        <v>99</v>
      </c>
      <c r="H60" s="107" t="s">
        <v>3</v>
      </c>
    </row>
    <row r="61" spans="1:12" ht="36" customHeight="1" x14ac:dyDescent="0.25">
      <c r="A61" s="120" t="str">
        <f>CONCATENATE('Rozpis úklidu'!A45," (",'Rozpis úklidu'!D45*'Rozpis úklidu'!G45,")")</f>
        <v>WC + sprcha 1.-7. NP - obklady (14)</v>
      </c>
      <c r="B61" s="150">
        <f>'Rozpis úklidu'!D45*'Rozpis úklidu'!G45</f>
        <v>14</v>
      </c>
      <c r="C61" s="165">
        <f>IF('Rozpis úklidu'!N45=0,'Rozpis úklidu'!M45*B61/60,'Rozpis úklidu'!N45*B61/60)</f>
        <v>4.666666666666667</v>
      </c>
      <c r="D61" s="7" t="str">
        <f>'Rozpis úklidu'!L45</f>
        <v>Otřít obklady, vyčistit spáry mezi dlaždičkami, vydesinfikovat plísně.</v>
      </c>
      <c r="E61" s="127">
        <f>'Rozpis úklidu'!P45*F61</f>
        <v>0</v>
      </c>
      <c r="F61" s="171">
        <f>B61</f>
        <v>14</v>
      </c>
      <c r="G61" s="128">
        <f>IF(F61&lt;B61,(B61-F61)*('Rozpis úklidu'!P45)*2,0)</f>
        <v>0</v>
      </c>
      <c r="H61" s="33"/>
    </row>
    <row r="62" spans="1:12" ht="36" customHeight="1" x14ac:dyDescent="0.25">
      <c r="A62" s="120" t="str">
        <f>CONCATENATE('Rozpis úklidu'!A46," (",'Rozpis úklidu'!D46*'Rozpis úklidu'!G46,")")</f>
        <v>kuchyňky 1.-7. NP - obklady (13)</v>
      </c>
      <c r="B62" s="121">
        <f>'Rozpis úklidu'!D46*'Rozpis úklidu'!G46</f>
        <v>13</v>
      </c>
      <c r="C62" s="126">
        <f>IF('Rozpis úklidu'!N46=0,'Rozpis úklidu'!M46*B62/60,'Rozpis úklidu'!N46*B62/60)</f>
        <v>1.0833333333333333</v>
      </c>
      <c r="D62" s="7" t="str">
        <f>'Rozpis úklidu'!L46</f>
        <v>Otřít obklady, vyčistit spáry mezi dlaždičkami, vydesinfikovat plísně.</v>
      </c>
      <c r="E62" s="127">
        <f>'Rozpis úklidu'!P46*F62</f>
        <v>0</v>
      </c>
      <c r="F62" s="171">
        <f>B62</f>
        <v>13</v>
      </c>
      <c r="G62" s="128">
        <f>IF(F62&lt;B62,(B62-F62)*('Rozpis úklidu'!P46)*2,0)</f>
        <v>0</v>
      </c>
      <c r="H62" s="33"/>
    </row>
    <row r="63" spans="1:12" ht="36" customHeight="1" x14ac:dyDescent="0.25">
      <c r="A63" s="120" t="str">
        <f>CONCATENATE('Rozpis úklidu'!A47," (",'Rozpis úklidu'!D47*'Rozpis úklidu'!G47,")")</f>
        <v>sklad lůžkovin (1)</v>
      </c>
      <c r="B63" s="121">
        <f>'Rozpis úklidu'!D47*'Rozpis úklidu'!G47</f>
        <v>1</v>
      </c>
      <c r="C63" s="126">
        <f>IF('Rozpis úklidu'!N47=0,'Rozpis úklidu'!M47*B63/60,'Rozpis úklidu'!N47*B63/60)</f>
        <v>0.1</v>
      </c>
      <c r="D63" s="7" t="str">
        <f>'Rozpis úklidu'!L47</f>
        <v>Úklidová činnost č. 3</v>
      </c>
      <c r="E63" s="127">
        <f>'Rozpis úklidu'!P47*F63</f>
        <v>0</v>
      </c>
      <c r="F63" s="171">
        <f t="shared" ref="F63:F64" si="7">B63</f>
        <v>1</v>
      </c>
      <c r="G63" s="128">
        <f>IF(F63&lt;B63,(B63-F63)*('Rozpis úklidu'!P47)*2,0)</f>
        <v>0</v>
      </c>
      <c r="H63" s="33"/>
    </row>
    <row r="64" spans="1:12" ht="36" customHeight="1" thickBot="1" x14ac:dyDescent="0.3">
      <c r="A64" s="156" t="str">
        <f>CONCATENATE('Rozpis úklidu'!A48," (",'Rozpis úklidu'!D48*'Rozpis úklidu'!G48,")")</f>
        <v>sklad- čistící prostředky (1)</v>
      </c>
      <c r="B64" s="166">
        <f>'Rozpis úklidu'!D48*'Rozpis úklidu'!G48</f>
        <v>1</v>
      </c>
      <c r="C64" s="157">
        <f>IF('Rozpis úklidu'!N48=0,'Rozpis úklidu'!M48*B64/60,'Rozpis úklidu'!N48*B64/60)</f>
        <v>0.13333333333333333</v>
      </c>
      <c r="D64" s="158" t="str">
        <f>'Rozpis úklidu'!L48</f>
        <v>Úklidová činnost č. 3</v>
      </c>
      <c r="E64" s="159">
        <f>'Rozpis úklidu'!P48*F64</f>
        <v>0</v>
      </c>
      <c r="F64" s="173">
        <f t="shared" si="7"/>
        <v>1</v>
      </c>
      <c r="G64" s="160">
        <f>IF(F64&lt;B64,(B64-F64)*('Rozpis úklidu'!P48)*2,0)</f>
        <v>0</v>
      </c>
      <c r="H64" s="34"/>
    </row>
    <row r="65" spans="1:8" ht="63.75" customHeight="1" thickBot="1" x14ac:dyDescent="0.3">
      <c r="A65" s="161"/>
      <c r="B65" s="162" t="s">
        <v>201</v>
      </c>
      <c r="C65" s="167">
        <f>SUM(C61:C64)/20</f>
        <v>0.29916666666666669</v>
      </c>
      <c r="D65" s="139" t="s">
        <v>98</v>
      </c>
      <c r="E65" s="163">
        <f>SUM(E61:E64)</f>
        <v>0</v>
      </c>
      <c r="F65" s="141"/>
      <c r="G65" s="164">
        <f>SUM(G61:G63)</f>
        <v>0</v>
      </c>
      <c r="H65" s="72"/>
    </row>
    <row r="66" spans="1:8" ht="19.5" thickBot="1" x14ac:dyDescent="0.35">
      <c r="A66" s="143" t="s">
        <v>96</v>
      </c>
      <c r="B66" s="144"/>
      <c r="C66" s="144"/>
      <c r="D66" s="145" t="s">
        <v>97</v>
      </c>
      <c r="E66" s="145"/>
      <c r="F66" s="145"/>
      <c r="G66" s="145"/>
      <c r="H66" s="73"/>
    </row>
    <row r="67" spans="1:8" x14ac:dyDescent="0.25">
      <c r="A67" s="146"/>
      <c r="B67" s="146"/>
      <c r="C67" s="146"/>
      <c r="D67" s="147"/>
      <c r="E67" s="147"/>
      <c r="F67" s="147"/>
      <c r="G67" s="147"/>
      <c r="H67" s="146"/>
    </row>
    <row r="68" spans="1:8" ht="21.75" thickBot="1" x14ac:dyDescent="0.4">
      <c r="A68" s="98" t="s">
        <v>93</v>
      </c>
      <c r="D68" s="99" t="str">
        <f>'Rozpis úklidu'!$A$1</f>
        <v>kolej: Rooseveltova, VŠE</v>
      </c>
    </row>
    <row r="69" spans="1:8" ht="16.5" thickBot="1" x14ac:dyDescent="0.3">
      <c r="A69" s="100" t="s">
        <v>106</v>
      </c>
      <c r="B69" s="148">
        <f ca="1">MONTH(D69)</f>
        <v>4</v>
      </c>
      <c r="C69" s="148"/>
      <c r="D69" s="71">
        <f ca="1">(NOW())</f>
        <v>46127.699021643515</v>
      </c>
      <c r="E69" s="101"/>
      <c r="F69" s="101"/>
      <c r="G69" s="101"/>
      <c r="H69" s="102"/>
    </row>
    <row r="70" spans="1:8" ht="36" customHeight="1" thickBot="1" x14ac:dyDescent="0.3">
      <c r="A70" s="103" t="str">
        <f>'Rozpis úklidu'!$A$3</f>
        <v>Úklidová jednotka</v>
      </c>
      <c r="B70" s="104" t="str">
        <f>'Rozpis úklidu'!$D$3</f>
        <v>počet
úklidových jednotek</v>
      </c>
      <c r="C70" s="104"/>
      <c r="D70" s="105" t="str">
        <f>'Rozpis úklidu'!$L$3</f>
        <v>Popis činnosti</v>
      </c>
      <c r="E70" s="106" t="str">
        <f>'Rozpis úklidu'!$Q$3</f>
        <v>cena celkem za všechny úklidové jednotky 
(prac. dny)
[Kč]</v>
      </c>
      <c r="F70" s="106" t="s">
        <v>100</v>
      </c>
      <c r="G70" s="106" t="s">
        <v>99</v>
      </c>
      <c r="H70" s="107" t="s">
        <v>3</v>
      </c>
    </row>
    <row r="71" spans="1:8" ht="36" customHeight="1" x14ac:dyDescent="0.25">
      <c r="A71" s="120" t="str">
        <f>CONCATENATE('Rozpis úklidu'!A50," (",'Rozpis úklidu'!F50,")")</f>
        <v>jednolůžkový pokoj (buňka) (sezonně)</v>
      </c>
      <c r="B71" s="69">
        <v>0</v>
      </c>
      <c r="C71" s="170">
        <f>IF('Rozpis úklidu'!N50=0,'Rozpis úklidu'!M50*B71/60,'Rozpis úklidu'!N50*B71/60)</f>
        <v>0</v>
      </c>
      <c r="D71" s="7" t="str">
        <f>'Rozpis úklidu'!L50</f>
        <v>Úklidová činnost č. 6</v>
      </c>
      <c r="E71" s="127">
        <f>'Rozpis úklidu'!P50*F71</f>
        <v>0</v>
      </c>
      <c r="F71" s="171">
        <f>B71</f>
        <v>0</v>
      </c>
      <c r="G71" s="124">
        <f>IF(F71&lt;B71,(B71-F71)*('Rozpis úklidu'!P50)*2,0)</f>
        <v>0</v>
      </c>
      <c r="H71" s="33"/>
    </row>
    <row r="72" spans="1:8" ht="36" customHeight="1" x14ac:dyDescent="0.25">
      <c r="A72" s="120" t="str">
        <f>CONCATENATE('Rozpis úklidu'!A51," (",'Rozpis úklidu'!F51,")")</f>
        <v>dvoulůžkový pokoj (buňka) (sezonně)</v>
      </c>
      <c r="B72" s="69">
        <v>0</v>
      </c>
      <c r="C72" s="170">
        <f>IF('Rozpis úklidu'!N51=0,'Rozpis úklidu'!M51*B72/60,'Rozpis úklidu'!N51*B72/60)</f>
        <v>0</v>
      </c>
      <c r="D72" s="7" t="str">
        <f>'Rozpis úklidu'!L51</f>
        <v>Úklidová činnost č. 6</v>
      </c>
      <c r="E72" s="127">
        <f>'Rozpis úklidu'!P51*F72</f>
        <v>0</v>
      </c>
      <c r="F72" s="171">
        <f t="shared" ref="F72:F80" si="8">B72</f>
        <v>0</v>
      </c>
      <c r="G72" s="124">
        <f>IF(F72&lt;B72,(B72-F72)*('Rozpis úklidu'!P51)*2,0)</f>
        <v>0</v>
      </c>
      <c r="H72" s="33"/>
    </row>
    <row r="73" spans="1:8" ht="36" customHeight="1" x14ac:dyDescent="0.25">
      <c r="A73" s="120" t="str">
        <f>CONCATENATE('Rozpis úklidu'!A52," (",'Rozpis úklidu'!F52,")")</f>
        <v>třílůžkový pokoj (buňka) (sezonně)</v>
      </c>
      <c r="B73" s="69">
        <v>0</v>
      </c>
      <c r="C73" s="170">
        <f>IF('Rozpis úklidu'!N52=0,'Rozpis úklidu'!M52*B73/60,'Rozpis úklidu'!N52*B73/60)</f>
        <v>0</v>
      </c>
      <c r="D73" s="7" t="str">
        <f>'Rozpis úklidu'!L52</f>
        <v>Úklidová činnost č. 6</v>
      </c>
      <c r="E73" s="127">
        <f>'Rozpis úklidu'!P52*F73</f>
        <v>0</v>
      </c>
      <c r="F73" s="171">
        <f t="shared" si="8"/>
        <v>0</v>
      </c>
      <c r="G73" s="124">
        <f>IF(F73&lt;B73,(B73-F73)*('Rozpis úklidu'!P52)*2,0)</f>
        <v>0</v>
      </c>
      <c r="H73" s="33"/>
    </row>
    <row r="74" spans="1:8" ht="36" customHeight="1" x14ac:dyDescent="0.25">
      <c r="A74" s="120" t="str">
        <f>CONCATENATE('Rozpis úklidu'!A53," (",'Rozpis úklidu'!F53,")")</f>
        <v>chodba + kuchyňka - buňka (sezonně)</v>
      </c>
      <c r="B74" s="69">
        <v>0</v>
      </c>
      <c r="C74" s="170">
        <f>IF('Rozpis úklidu'!N53=0,'Rozpis úklidu'!M53*B74/60,'Rozpis úklidu'!N53*B74/60)</f>
        <v>0</v>
      </c>
      <c r="D74" s="7" t="str">
        <f>'Rozpis úklidu'!L53</f>
        <v>Úklidová činnost č. 5</v>
      </c>
      <c r="E74" s="127">
        <f>'Rozpis úklidu'!P53*F74</f>
        <v>0</v>
      </c>
      <c r="F74" s="171">
        <f t="shared" si="8"/>
        <v>0</v>
      </c>
      <c r="G74" s="124">
        <f>IF(F74&lt;B74,(B74-F74)*('Rozpis úklidu'!P53)*2,0)</f>
        <v>0</v>
      </c>
      <c r="H74" s="33"/>
    </row>
    <row r="75" spans="1:8" ht="36" customHeight="1" x14ac:dyDescent="0.25">
      <c r="A75" s="120" t="str">
        <f>CONCATENATE('Rozpis úklidu'!A54," (",'Rozpis úklidu'!F54,")")</f>
        <v>sprcha - buňka (sezonně)</v>
      </c>
      <c r="B75" s="69">
        <v>0</v>
      </c>
      <c r="C75" s="170">
        <f>IF('Rozpis úklidu'!N54=0,'Rozpis úklidu'!M54*B75/60,'Rozpis úklidu'!N54*B75/60)</f>
        <v>0</v>
      </c>
      <c r="D75" s="7" t="str">
        <f>'Rozpis úklidu'!L54</f>
        <v>Úklidová činnost č. 15</v>
      </c>
      <c r="E75" s="127">
        <f>'Rozpis úklidu'!P54*F75</f>
        <v>0</v>
      </c>
      <c r="F75" s="171">
        <f t="shared" si="8"/>
        <v>0</v>
      </c>
      <c r="G75" s="124">
        <f>IF(F75&lt;B75,(B75-F75)*('Rozpis úklidu'!P54)*2,0)</f>
        <v>0</v>
      </c>
      <c r="H75" s="33"/>
    </row>
    <row r="76" spans="1:8" ht="36" customHeight="1" x14ac:dyDescent="0.25">
      <c r="A76" s="120" t="str">
        <f>CONCATENATE('Rozpis úklidu'!A55," (",'Rozpis úklidu'!F55,")")</f>
        <v>WC - buňka (sezonně)</v>
      </c>
      <c r="B76" s="69">
        <v>0</v>
      </c>
      <c r="C76" s="170">
        <f>IF('Rozpis úklidu'!N55=0,'Rozpis úklidu'!M55*B76/60,'Rozpis úklidu'!N55*B76/60)</f>
        <v>0</v>
      </c>
      <c r="D76" s="7" t="str">
        <f>'Rozpis úklidu'!L55</f>
        <v>Úklidová činnost č. 14</v>
      </c>
      <c r="E76" s="127">
        <f>'Rozpis úklidu'!P55*F76</f>
        <v>0</v>
      </c>
      <c r="F76" s="171">
        <f t="shared" si="8"/>
        <v>0</v>
      </c>
      <c r="G76" s="124">
        <f>IF(F76&lt;B76,(B76-F76)*('Rozpis úklidu'!P55)*2,0)</f>
        <v>0</v>
      </c>
      <c r="H76" s="33"/>
    </row>
    <row r="77" spans="1:8" ht="36" customHeight="1" x14ac:dyDescent="0.25">
      <c r="A77" s="120" t="str">
        <f>CONCATENATE('Rozpis úklidu'!A56," (",'Rozpis úklidu'!F56,")")</f>
        <v>jednolůžkový samostatný (sezonně)</v>
      </c>
      <c r="B77" s="69">
        <v>0</v>
      </c>
      <c r="C77" s="170">
        <f>IF('Rozpis úklidu'!N56=0,'Rozpis úklidu'!M56*B77/60,'Rozpis úklidu'!N56*B77/60)</f>
        <v>0</v>
      </c>
      <c r="D77" s="7" t="str">
        <f>'Rozpis úklidu'!L56</f>
        <v>Úklidová činnopst č. 6</v>
      </c>
      <c r="E77" s="127">
        <f>'Rozpis úklidu'!P56*F77</f>
        <v>0</v>
      </c>
      <c r="F77" s="171">
        <f t="shared" si="8"/>
        <v>0</v>
      </c>
      <c r="G77" s="124">
        <f>IF(F77&lt;B77,(B77-F77)*('Rozpis úklidu'!P56)*2,0)</f>
        <v>0</v>
      </c>
      <c r="H77" s="33"/>
    </row>
    <row r="78" spans="1:8" ht="36" customHeight="1" x14ac:dyDescent="0.25">
      <c r="A78" s="120" t="str">
        <f>CONCATENATE('Rozpis úklidu'!A57," (",'Rozpis úklidu'!F57,")")</f>
        <v>dvoulůžkový samostatný (sezonně)</v>
      </c>
      <c r="B78" s="69">
        <v>0</v>
      </c>
      <c r="C78" s="170">
        <f>IF('Rozpis úklidu'!N57=0,'Rozpis úklidu'!M57*B78/60,'Rozpis úklidu'!N57*B78/60)</f>
        <v>0</v>
      </c>
      <c r="D78" s="7" t="str">
        <f>'Rozpis úklidu'!L57</f>
        <v>Úklidová činnopst č. 6</v>
      </c>
      <c r="E78" s="127">
        <f>'Rozpis úklidu'!P57*F78</f>
        <v>0</v>
      </c>
      <c r="F78" s="171">
        <f t="shared" si="8"/>
        <v>0</v>
      </c>
      <c r="G78" s="124">
        <f>IF(F78&lt;B78,(B78-F78)*('Rozpis úklidu'!P57)*2,0)</f>
        <v>0</v>
      </c>
      <c r="H78" s="33"/>
    </row>
    <row r="79" spans="1:8" ht="36" customHeight="1" x14ac:dyDescent="0.25">
      <c r="A79" s="120" t="str">
        <f>CONCATENATE('Rozpis úklidu'!A58," (",'Rozpis úklidu'!F58,")")</f>
        <v>trojlůžkový samostatný (sezonně)</v>
      </c>
      <c r="B79" s="69">
        <v>0</v>
      </c>
      <c r="C79" s="170">
        <f>IF('Rozpis úklidu'!N58=0,'Rozpis úklidu'!M58*B79/60,'Rozpis úklidu'!N58*B79/60)</f>
        <v>0</v>
      </c>
      <c r="D79" s="7" t="str">
        <f>'Rozpis úklidu'!L58</f>
        <v>Úklidová činnopst č. 6</v>
      </c>
      <c r="E79" s="127">
        <f>'Rozpis úklidu'!P58*F79</f>
        <v>0</v>
      </c>
      <c r="F79" s="171">
        <f t="shared" si="8"/>
        <v>0</v>
      </c>
      <c r="G79" s="124">
        <f>IF(F79&lt;B79,(B79-F79)*('Rozpis úklidu'!P58)*2,0)</f>
        <v>0</v>
      </c>
      <c r="H79" s="33"/>
    </row>
    <row r="80" spans="1:8" ht="36" customHeight="1" thickBot="1" x14ac:dyDescent="0.3">
      <c r="A80" s="120" t="str">
        <f>CONCATENATE('Rozpis úklidu'!A59," (",'Rozpis úklidu'!F59,")")</f>
        <v>přebrání pokoje po ubytovaných (sezonně)</v>
      </c>
      <c r="B80" s="69">
        <v>0</v>
      </c>
      <c r="C80" s="170">
        <f>IF('Rozpis úklidu'!N59=0,'Rozpis úklidu'!M59*B80/60,'Rozpis úklidu'!N59*B80/60)</f>
        <v>0</v>
      </c>
      <c r="D80" s="7" t="str">
        <f>'Rozpis úklidu'!L59</f>
        <v>Úklidová činnost č. 10</v>
      </c>
      <c r="E80" s="127">
        <f>'Rozpis úklidu'!P59*F80</f>
        <v>0</v>
      </c>
      <c r="F80" s="171">
        <f t="shared" si="8"/>
        <v>0</v>
      </c>
      <c r="G80" s="124">
        <f>IF(F80&lt;B80,(B80-F80)*('Rozpis úklidu'!P59)*2,0)</f>
        <v>0</v>
      </c>
      <c r="H80" s="33"/>
    </row>
    <row r="81" spans="1:8" ht="63.75" customHeight="1" thickBot="1" x14ac:dyDescent="0.3">
      <c r="A81" s="161"/>
      <c r="B81" s="168"/>
      <c r="C81" s="169">
        <f>SUM(C71:C80)</f>
        <v>0</v>
      </c>
      <c r="D81" s="139" t="s">
        <v>98</v>
      </c>
      <c r="E81" s="163">
        <f>SUM(E71:E80)</f>
        <v>0</v>
      </c>
      <c r="F81" s="141"/>
      <c r="G81" s="142">
        <f>SUM(G71:G80)</f>
        <v>0</v>
      </c>
      <c r="H81" s="72"/>
    </row>
    <row r="82" spans="1:8" ht="19.5" thickBot="1" x14ac:dyDescent="0.35">
      <c r="A82" s="143" t="s">
        <v>96</v>
      </c>
      <c r="B82" s="144"/>
      <c r="C82" s="144"/>
      <c r="D82" s="145" t="s">
        <v>97</v>
      </c>
      <c r="E82" s="145"/>
      <c r="F82" s="145"/>
      <c r="G82" s="145"/>
      <c r="H82" s="73"/>
    </row>
    <row r="83" spans="1:8" x14ac:dyDescent="0.25">
      <c r="A83" s="146"/>
      <c r="B83" s="146"/>
      <c r="C83" s="146"/>
      <c r="D83" s="147"/>
      <c r="E83" s="147"/>
      <c r="F83" s="147"/>
      <c r="G83" s="147"/>
      <c r="H83" s="146"/>
    </row>
    <row r="84" spans="1:8" ht="21.75" thickBot="1" x14ac:dyDescent="0.4">
      <c r="A84" s="98" t="s">
        <v>93</v>
      </c>
      <c r="D84" s="98" t="str">
        <f>'Rozpis úklidu'!$A$1</f>
        <v>kolej: Rooseveltova, VŠE</v>
      </c>
    </row>
    <row r="85" spans="1:8" ht="16.5" thickBot="1" x14ac:dyDescent="0.3">
      <c r="A85" s="100" t="s">
        <v>107</v>
      </c>
      <c r="B85" s="70">
        <f ca="1">(NOW())</f>
        <v>46127.699021643515</v>
      </c>
      <c r="C85" s="70"/>
      <c r="D85" s="101"/>
      <c r="E85" s="101"/>
      <c r="F85" s="101"/>
      <c r="G85" s="101"/>
      <c r="H85" s="102"/>
    </row>
    <row r="86" spans="1:8" ht="36" customHeight="1" thickBot="1" x14ac:dyDescent="0.3">
      <c r="A86" s="103" t="str">
        <f>'Rozpis úklidu'!$A$3</f>
        <v>Úklidová jednotka</v>
      </c>
      <c r="B86" s="104" t="str">
        <f>'Rozpis úklidu'!$D$3</f>
        <v>počet
úklidových jednotek</v>
      </c>
      <c r="C86" s="104"/>
      <c r="D86" s="105" t="str">
        <f>'Rozpis úklidu'!$L$3</f>
        <v>Popis činnosti</v>
      </c>
      <c r="E86" s="106" t="s">
        <v>108</v>
      </c>
      <c r="F86" s="106" t="s">
        <v>100</v>
      </c>
      <c r="G86" s="106" t="s">
        <v>99</v>
      </c>
      <c r="H86" s="107" t="s">
        <v>3</v>
      </c>
    </row>
    <row r="87" spans="1:8" ht="36" customHeight="1" x14ac:dyDescent="0.25">
      <c r="A87" s="120" t="str">
        <f>CONCATENATE('Rozpis úklidu'!A30," (",'Rozpis úklidu'!D30*'Rozpis úklidu'!G30,")")</f>
        <v>dvoulůžkový pokoj- buňka -  HOTEL (4)</v>
      </c>
      <c r="B87" s="69">
        <v>0</v>
      </c>
      <c r="C87" s="170">
        <f>IF('Rozpis úklidu'!N30=0,'Rozpis úklidu'!M30*B87/60,'Rozpis úklidu'!N30*B87/60)</f>
        <v>0</v>
      </c>
      <c r="D87" s="7" t="str">
        <f>CONCATENATE('Rozpis úklidu'!L30," (po odjezdu)")</f>
        <v>Úklidová činnost č. 8 (po odjezdu)</v>
      </c>
      <c r="E87" s="127">
        <f>'Rozpis úklidu'!P30*F87*'Základní údaje'!$C$11</f>
        <v>0</v>
      </c>
      <c r="F87" s="171">
        <f t="shared" ref="F87" si="9">B87</f>
        <v>0</v>
      </c>
      <c r="G87" s="124">
        <f>IF(F87&lt;B87,(B87-F87)*('Rozpis úklidu'!P30)*2,0)</f>
        <v>0</v>
      </c>
      <c r="H87" s="33"/>
    </row>
    <row r="88" spans="1:8" ht="36" customHeight="1" x14ac:dyDescent="0.25">
      <c r="A88" s="120" t="str">
        <f>CONCATENATE('Rozpis úklidu'!A31," (",'Rozpis úklidu'!D31*'Rozpis úklidu'!G31,")")</f>
        <v>jedolůžkový pokoj- buňka -  HOTEL (1)</v>
      </c>
      <c r="B88" s="69">
        <v>0</v>
      </c>
      <c r="C88" s="170">
        <f>IF('Rozpis úklidu'!N31=0,'Rozpis úklidu'!M31*B88/60,'Rozpis úklidu'!N31*B88/60)</f>
        <v>0</v>
      </c>
      <c r="D88" s="7" t="str">
        <f>CONCATENATE('Rozpis úklidu'!L31," (po odjezdu)")</f>
        <v>Úklidová činnost č. 8 (po odjezdu)</v>
      </c>
      <c r="E88" s="127">
        <f>'Rozpis úklidu'!P31*F88*'Základní údaje'!$C$11</f>
        <v>0</v>
      </c>
      <c r="F88" s="174">
        <f t="shared" ref="F88:F101" si="10">B88</f>
        <v>0</v>
      </c>
      <c r="G88" s="128">
        <f>IF(F88&lt;B88,(B88-F88)*('Rozpis úklidu'!P31)*2,0)</f>
        <v>0</v>
      </c>
      <c r="H88" s="33"/>
    </row>
    <row r="89" spans="1:8" ht="36" customHeight="1" x14ac:dyDescent="0.25">
      <c r="A89" s="120" t="str">
        <f>CONCATENATE('Rozpis úklidu'!A32," (",'Rozpis úklidu'!D32*'Rozpis úklidu'!G32,")")</f>
        <v>třílůžkový pokoj- buňka -  HOTEL (1)</v>
      </c>
      <c r="B89" s="69">
        <v>0</v>
      </c>
      <c r="C89" s="170">
        <f>IF('Rozpis úklidu'!N32=0,'Rozpis úklidu'!M32*B89/60,'Rozpis úklidu'!N32*B89/60)</f>
        <v>0</v>
      </c>
      <c r="D89" s="7" t="str">
        <f>CONCATENATE('Rozpis úklidu'!L32," (po odjezdu)")</f>
        <v>Úklidová činnost č. 8 (po odjezdu)</v>
      </c>
      <c r="E89" s="127">
        <f>'Rozpis úklidu'!P32*F89*'Základní údaje'!$C$11</f>
        <v>0</v>
      </c>
      <c r="F89" s="174">
        <f t="shared" si="10"/>
        <v>0</v>
      </c>
      <c r="G89" s="128">
        <f>IF(F89&lt;B89,(B89-F89)*('Rozpis úklidu'!P32)*2,0)</f>
        <v>0</v>
      </c>
      <c r="H89" s="33"/>
    </row>
    <row r="90" spans="1:8" ht="36" customHeight="1" x14ac:dyDescent="0.25">
      <c r="A90" s="120" t="str">
        <f>CONCATENATE('Rozpis úklidu'!A33," (",'Rozpis úklidu'!D33*'Rozpis úklidu'!G33,")")</f>
        <v>dvoulůžkový pokoj- buňka -  HOTEL (4)</v>
      </c>
      <c r="B90" s="69">
        <v>0</v>
      </c>
      <c r="C90" s="170">
        <f>IF('Rozpis úklidu'!N33=0,'Rozpis úklidu'!M33*B90/60,'Rozpis úklidu'!N33*B90/60)</f>
        <v>0</v>
      </c>
      <c r="D90" s="7" t="str">
        <f>CONCATENATE('Rozpis úklidu'!L33," (v průběhu pobytu)")</f>
        <v>Úklidová činnost č. 9 (v průběhu pobytu)</v>
      </c>
      <c r="E90" s="127">
        <f>'Rozpis úklidu'!P33*F90*'Základní údaje'!$C$11</f>
        <v>0</v>
      </c>
      <c r="F90" s="174">
        <f t="shared" si="10"/>
        <v>0</v>
      </c>
      <c r="G90" s="128">
        <f>IF(F90&lt;B90,(B90-F90)*('Rozpis úklidu'!P33)*2,0)</f>
        <v>0</v>
      </c>
      <c r="H90" s="33"/>
    </row>
    <row r="91" spans="1:8" ht="36" customHeight="1" x14ac:dyDescent="0.25">
      <c r="A91" s="120" t="str">
        <f>CONCATENATE('Rozpis úklidu'!A34," (",'Rozpis úklidu'!D34*'Rozpis úklidu'!G34,")")</f>
        <v>jedolůžkový pokoj- buňka -  HOTEL (1)</v>
      </c>
      <c r="B91" s="69">
        <v>0</v>
      </c>
      <c r="C91" s="170">
        <f>IF('Rozpis úklidu'!N34=0,'Rozpis úklidu'!M34*B91/60,'Rozpis úklidu'!N34*B91/60)</f>
        <v>0</v>
      </c>
      <c r="D91" s="7" t="str">
        <f>CONCATENATE('Rozpis úklidu'!L34," (v průběhu pobytu)")</f>
        <v>Úklidová činnost č. 9 (v průběhu pobytu)</v>
      </c>
      <c r="E91" s="127">
        <f>'Rozpis úklidu'!P34*F91*'Základní údaje'!$C$11</f>
        <v>0</v>
      </c>
      <c r="F91" s="174">
        <f t="shared" si="10"/>
        <v>0</v>
      </c>
      <c r="G91" s="128">
        <f>IF(F91&lt;B91,(B91-F91)*('Rozpis úklidu'!P34)*2,0)</f>
        <v>0</v>
      </c>
      <c r="H91" s="33"/>
    </row>
    <row r="92" spans="1:8" ht="36" customHeight="1" x14ac:dyDescent="0.25">
      <c r="A92" s="120" t="str">
        <f>CONCATENATE('Rozpis úklidu'!A35," (",'Rozpis úklidu'!D35*'Rozpis úklidu'!G35,")")</f>
        <v>třílůžkový pokoj- buňka -  HOTEL (1)</v>
      </c>
      <c r="B92" s="69">
        <v>0</v>
      </c>
      <c r="C92" s="170">
        <f>IF('Rozpis úklidu'!N35=0,'Rozpis úklidu'!M35*B92/60,'Rozpis úklidu'!N35*B92/60)</f>
        <v>0</v>
      </c>
      <c r="D92" s="7" t="str">
        <f>CONCATENATE('Rozpis úklidu'!L35," (v průběhu pobytu)")</f>
        <v>Úklidová činnost č. 9 (v průběhu pobytu)</v>
      </c>
      <c r="E92" s="127">
        <f>'Rozpis úklidu'!P35*F92*'Základní údaje'!$C$11</f>
        <v>0</v>
      </c>
      <c r="F92" s="174">
        <f t="shared" si="10"/>
        <v>0</v>
      </c>
      <c r="G92" s="128">
        <f>IF(F92&lt;B92,(B92-F92)*('Rozpis úklidu'!P35)*2,0)</f>
        <v>0</v>
      </c>
      <c r="H92" s="33"/>
    </row>
    <row r="93" spans="1:8" ht="36" customHeight="1" x14ac:dyDescent="0.25">
      <c r="A93" s="120" t="str">
        <f>CONCATENATE('Rozpis úklidu'!A36," (",'Rozpis úklidu'!D36*'Rozpis úklidu'!G36,")")</f>
        <v>chodba+kuchyňka- buňka -  HOTEL (1)</v>
      </c>
      <c r="B93" s="69">
        <v>0</v>
      </c>
      <c r="C93" s="170">
        <f>IF('Rozpis úklidu'!N36=0,'Rozpis úklidu'!M36*B93/60,'Rozpis úklidu'!N36*B93/60)</f>
        <v>0</v>
      </c>
      <c r="D93" s="7" t="str">
        <f>'Rozpis úklidu'!L36</f>
        <v>Úklidová činnost č. 5</v>
      </c>
      <c r="E93" s="127">
        <f>'Rozpis úklidu'!P36*F93*'Základní údaje'!$C$11</f>
        <v>0</v>
      </c>
      <c r="F93" s="174">
        <f t="shared" si="10"/>
        <v>0</v>
      </c>
      <c r="G93" s="128">
        <f>IF(F93&lt;B93,(B93-F93)*('Rozpis úklidu'!P36)*2,0)</f>
        <v>0</v>
      </c>
      <c r="H93" s="33"/>
    </row>
    <row r="94" spans="1:8" ht="36" customHeight="1" x14ac:dyDescent="0.25">
      <c r="A94" s="120" t="str">
        <f>CONCATENATE('Rozpis úklidu'!A37," (",'Rozpis úklidu'!D37*'Rozpis úklidu'!G37,")")</f>
        <v>sprcha - buňka -  HOTEL (4)</v>
      </c>
      <c r="B94" s="69">
        <v>0</v>
      </c>
      <c r="C94" s="170">
        <f>IF('Rozpis úklidu'!N37=0,'Rozpis úklidu'!M37*B94/60,'Rozpis úklidu'!N37*B94/60)</f>
        <v>0</v>
      </c>
      <c r="D94" s="7" t="str">
        <f>'Rozpis úklidu'!L37</f>
        <v>Úklidová činnost č. 15</v>
      </c>
      <c r="E94" s="127">
        <f>'Rozpis úklidu'!P37*F94*'Základní údaje'!$C$11</f>
        <v>0</v>
      </c>
      <c r="F94" s="174">
        <f t="shared" si="10"/>
        <v>0</v>
      </c>
      <c r="G94" s="128">
        <f>IF(F94&lt;B94,(B94-F94)*('Rozpis úklidu'!P37)*2,0)</f>
        <v>0</v>
      </c>
      <c r="H94" s="33"/>
    </row>
    <row r="95" spans="1:8" ht="36" customHeight="1" x14ac:dyDescent="0.25">
      <c r="A95" s="120" t="str">
        <f>CONCATENATE('Rozpis úklidu'!A38," (",'Rozpis úklidu'!D38*'Rozpis úklidu'!G38,")")</f>
        <v>WC - buňka -  HOTEL (4)</v>
      </c>
      <c r="B95" s="69">
        <v>0</v>
      </c>
      <c r="C95" s="170">
        <f>IF('Rozpis úklidu'!N38=0,'Rozpis úklidu'!M38*B95/60,'Rozpis úklidu'!N38*B95/60)</f>
        <v>0</v>
      </c>
      <c r="D95" s="7" t="str">
        <f>'Rozpis úklidu'!L38</f>
        <v>Úklidová činnost č. 14</v>
      </c>
      <c r="E95" s="127">
        <f>'Rozpis úklidu'!P38*F95*'Základní údaje'!$C$11</f>
        <v>0</v>
      </c>
      <c r="F95" s="174">
        <f t="shared" si="10"/>
        <v>0</v>
      </c>
      <c r="G95" s="128">
        <f>IF(F95&lt;B95,(B95-F95)*('Rozpis úklidu'!P38)*2,0)</f>
        <v>0</v>
      </c>
      <c r="H95" s="33"/>
    </row>
    <row r="96" spans="1:8" ht="36" customHeight="1" x14ac:dyDescent="0.25">
      <c r="A96" s="120" t="str">
        <f>CONCATENATE('Rozpis úklidu'!A39," (",'Rozpis úklidu'!D39*'Rozpis úklidu'!G39,")")</f>
        <v>jednolůžkový samostatný -  HOTEL (1)</v>
      </c>
      <c r="B96" s="69">
        <v>0</v>
      </c>
      <c r="C96" s="170">
        <f>IF('Rozpis úklidu'!N39=0,'Rozpis úklidu'!M39*B96/60,'Rozpis úklidu'!N39*B96/60)</f>
        <v>0</v>
      </c>
      <c r="D96" s="7" t="str">
        <f>CONCATENATE('Rozpis úklidu'!L39," (po odjezdu)")</f>
        <v>Úklidová činnost č. 8 (po odjezdu)</v>
      </c>
      <c r="E96" s="127">
        <f>'Rozpis úklidu'!P39*F96*'Základní údaje'!$C$11</f>
        <v>0</v>
      </c>
      <c r="F96" s="174">
        <f t="shared" si="10"/>
        <v>0</v>
      </c>
      <c r="G96" s="128">
        <f>IF(F96&lt;B96,(B96-F96)*('Rozpis úklidu'!P39)*2,0)</f>
        <v>0</v>
      </c>
      <c r="H96" s="33"/>
    </row>
    <row r="97" spans="1:8" ht="36" customHeight="1" x14ac:dyDescent="0.25">
      <c r="A97" s="120" t="str">
        <f>CONCATENATE('Rozpis úklidu'!A40," (",'Rozpis úklidu'!D40*'Rozpis úklidu'!G40,")")</f>
        <v>dvoulůžkový samostatný -  HOTEL (2)</v>
      </c>
      <c r="B97" s="69">
        <v>0</v>
      </c>
      <c r="C97" s="170">
        <f>IF('Rozpis úklidu'!N40=0,'Rozpis úklidu'!M40*B97/60,'Rozpis úklidu'!N40*B97/60)</f>
        <v>0</v>
      </c>
      <c r="D97" s="7" t="str">
        <f>CONCATENATE('Rozpis úklidu'!L40," (po odjezdu)")</f>
        <v>Úklidová činnost č. 8 (po odjezdu)</v>
      </c>
      <c r="E97" s="127">
        <f>'Rozpis úklidu'!P40*F97*'Základní údaje'!$C$11</f>
        <v>0</v>
      </c>
      <c r="F97" s="174">
        <f t="shared" si="10"/>
        <v>0</v>
      </c>
      <c r="G97" s="128">
        <f>IF(F97&lt;B97,(B97-F97)*('Rozpis úklidu'!P40)*2,0)</f>
        <v>0</v>
      </c>
      <c r="H97" s="33"/>
    </row>
    <row r="98" spans="1:8" ht="36" customHeight="1" x14ac:dyDescent="0.25">
      <c r="A98" s="120" t="str">
        <f>CONCATENATE('Rozpis úklidu'!A41," (",'Rozpis úklidu'!D41*'Rozpis úklidu'!G41,")")</f>
        <v>trojlůžkový samostatný -  HOTEL (1)</v>
      </c>
      <c r="B98" s="69">
        <v>0</v>
      </c>
      <c r="C98" s="170">
        <f>IF('Rozpis úklidu'!N41=0,'Rozpis úklidu'!M41*B98/60,'Rozpis úklidu'!N41*B98/60)</f>
        <v>0</v>
      </c>
      <c r="D98" s="7" t="str">
        <f>CONCATENATE('Rozpis úklidu'!L41," (po odjezdu)")</f>
        <v>Úklidová činnost č. 8 (po odjezdu)</v>
      </c>
      <c r="E98" s="127">
        <f>'Rozpis úklidu'!P41*F98*'Základní údaje'!$C$11</f>
        <v>0</v>
      </c>
      <c r="F98" s="174">
        <f t="shared" si="10"/>
        <v>0</v>
      </c>
      <c r="G98" s="128">
        <f>IF(F98&lt;B98,(B98-F98)*('Rozpis úklidu'!P41)*2,0)</f>
        <v>0</v>
      </c>
      <c r="H98" s="33"/>
    </row>
    <row r="99" spans="1:8" ht="36" customHeight="1" x14ac:dyDescent="0.25">
      <c r="A99" s="120" t="str">
        <f>CONCATENATE('Rozpis úklidu'!A42," (",'Rozpis úklidu'!D42*'Rozpis úklidu'!G42,")")</f>
        <v>jednolůžkový samostatný -  HOTEL (1)</v>
      </c>
      <c r="B99" s="69">
        <v>0</v>
      </c>
      <c r="C99" s="170">
        <f>IF('Rozpis úklidu'!N42=0,'Rozpis úklidu'!M42*B99/60,'Rozpis úklidu'!N42*B99/60)</f>
        <v>0</v>
      </c>
      <c r="D99" s="7" t="str">
        <f>CONCATENATE('Rozpis úklidu'!L42," (v průběhu pobytu)")</f>
        <v>Úklidová činnost č. 9 (v průběhu pobytu)</v>
      </c>
      <c r="E99" s="127">
        <f>'Rozpis úklidu'!P42*F99*'Základní údaje'!$C$11</f>
        <v>0</v>
      </c>
      <c r="F99" s="174">
        <f t="shared" si="10"/>
        <v>0</v>
      </c>
      <c r="G99" s="128">
        <f>IF(F99&lt;B99,(B99-F99)*('Rozpis úklidu'!P42)*2,0)</f>
        <v>0</v>
      </c>
      <c r="H99" s="33"/>
    </row>
    <row r="100" spans="1:8" ht="36" customHeight="1" x14ac:dyDescent="0.25">
      <c r="A100" s="120" t="str">
        <f>CONCATENATE('Rozpis úklidu'!A43," (",'Rozpis úklidu'!D43*'Rozpis úklidu'!G43,")")</f>
        <v>dvoulůžkový samostatný -  HOTEL (2)</v>
      </c>
      <c r="B100" s="69">
        <v>0</v>
      </c>
      <c r="C100" s="170">
        <f>IF('Rozpis úklidu'!N43=0,'Rozpis úklidu'!M43*B100/60,'Rozpis úklidu'!N43*B100/60)</f>
        <v>0</v>
      </c>
      <c r="D100" s="7" t="str">
        <f>CONCATENATE('Rozpis úklidu'!L43," (v průběhu pobytu)")</f>
        <v>Úklidová činnost č. 9 (v průběhu pobytu)</v>
      </c>
      <c r="E100" s="127">
        <f>'Rozpis úklidu'!P43*F100*'Základní údaje'!$C$11</f>
        <v>0</v>
      </c>
      <c r="F100" s="174">
        <f t="shared" si="10"/>
        <v>0</v>
      </c>
      <c r="G100" s="128">
        <f>IF(F100&lt;B100,(B100-F100)*('Rozpis úklidu'!P43)*2,0)</f>
        <v>0</v>
      </c>
      <c r="H100" s="33"/>
    </row>
    <row r="101" spans="1:8" ht="36" customHeight="1" thickBot="1" x14ac:dyDescent="0.3">
      <c r="A101" s="120" t="str">
        <f>CONCATENATE('Rozpis úklidu'!A44," (",'Rozpis úklidu'!D44*'Rozpis úklidu'!G44,")")</f>
        <v>trojlůžkový samostatný -  HOTEL (1)</v>
      </c>
      <c r="B101" s="69">
        <v>0</v>
      </c>
      <c r="C101" s="170">
        <f>IF('Rozpis úklidu'!N44=0,'Rozpis úklidu'!M44*B101/60,'Rozpis úklidu'!N44*B101/60)</f>
        <v>0</v>
      </c>
      <c r="D101" s="7" t="str">
        <f>CONCATENATE('Rozpis úklidu'!L44," (v průběhu pobytu)")</f>
        <v>Úklidová činnost č. 9 (v průběhu pobytu)</v>
      </c>
      <c r="E101" s="127">
        <f>'Rozpis úklidu'!P44*F101*'Základní údaje'!$C$11</f>
        <v>0</v>
      </c>
      <c r="F101" s="174">
        <f t="shared" si="10"/>
        <v>0</v>
      </c>
      <c r="G101" s="128">
        <f>IF(F101&lt;B101,(B101-F101)*('Rozpis úklidu'!P44)*2,0)</f>
        <v>0</v>
      </c>
      <c r="H101" s="33"/>
    </row>
    <row r="102" spans="1:8" ht="63.75" customHeight="1" thickBot="1" x14ac:dyDescent="0.3">
      <c r="A102" s="161"/>
      <c r="B102" s="168"/>
      <c r="C102" s="169">
        <f>SUM(C87:C101)</f>
        <v>0</v>
      </c>
      <c r="D102" s="139" t="s">
        <v>98</v>
      </c>
      <c r="E102" s="163">
        <f>SUM(E87:E101)</f>
        <v>0</v>
      </c>
      <c r="F102" s="141"/>
      <c r="G102" s="142">
        <f>SUM(G87:G101)</f>
        <v>0</v>
      </c>
      <c r="H102" s="72"/>
    </row>
    <row r="103" spans="1:8" ht="19.5" thickBot="1" x14ac:dyDescent="0.35">
      <c r="A103" s="143" t="s">
        <v>96</v>
      </c>
      <c r="B103" s="144"/>
      <c r="C103" s="144"/>
      <c r="D103" s="145" t="s">
        <v>97</v>
      </c>
      <c r="E103" s="145"/>
      <c r="F103" s="145"/>
      <c r="G103" s="145"/>
      <c r="H103" s="73"/>
    </row>
    <row r="104" spans="1:8" x14ac:dyDescent="0.25">
      <c r="A104" s="146"/>
      <c r="B104" s="146"/>
      <c r="C104" s="146"/>
      <c r="D104" s="147"/>
      <c r="E104" s="147"/>
      <c r="F104" s="147"/>
      <c r="G104" s="147"/>
      <c r="H104" s="146"/>
    </row>
  </sheetData>
  <sheetProtection algorithmName="SHA-512" hashValue="feurYkQNSXqQ38ybV73+CreQUZCeP2X+luzwz/Yr2ot8AorF8JwfuT0LaJoCMK81NTelf04MR+U3i6pelK17Hg==" saltValue="TWYUZ/JFRscaZgK9YnUOFw==" spinCount="100000" sheet="1" selectLockedCells="1"/>
  <conditionalFormatting sqref="G22">
    <cfRule type="expression" dxfId="4" priority="8">
      <formula>AND(G22&gt;0)</formula>
    </cfRule>
  </conditionalFormatting>
  <conditionalFormatting sqref="G55">
    <cfRule type="expression" dxfId="3" priority="7">
      <formula>AND(G55&gt;0)</formula>
    </cfRule>
  </conditionalFormatting>
  <conditionalFormatting sqref="G65">
    <cfRule type="expression" dxfId="2" priority="3">
      <formula>AND(G65&gt;0)</formula>
    </cfRule>
  </conditionalFormatting>
  <conditionalFormatting sqref="G81">
    <cfRule type="expression" dxfId="1" priority="2">
      <formula>AND(G81&gt;0)</formula>
    </cfRule>
  </conditionalFormatting>
  <conditionalFormatting sqref="G102">
    <cfRule type="expression" dxfId="0" priority="1">
      <formula>AND(G102&gt;0)</formula>
    </cfRule>
  </conditionalFormatting>
  <dataValidations count="4">
    <dataValidation type="list" allowBlank="1" showInputMessage="1" showErrorMessage="1" sqref="F55 F22 F65 F81 F102" xr:uid="{00000000-0002-0000-0200-000000000000}">
      <formula1>"0,1"</formula1>
    </dataValidation>
    <dataValidation type="whole" allowBlank="1" showInputMessage="1" showErrorMessage="1" sqref="F87:F101 F71:F80 F28:F54 F61:F64 F5:F20" xr:uid="{00000000-0002-0000-0200-000001000000}">
      <formula1>0</formula1>
      <formula2>B5</formula2>
    </dataValidation>
    <dataValidation type="whole" operator="greaterThanOrEqual" allowBlank="1" showInputMessage="1" showErrorMessage="1" sqref="F21 B71:B80 B28:B54 B5:B20 B87:C101" xr:uid="{00000000-0002-0000-0200-000002000000}">
      <formula1>0</formula1>
    </dataValidation>
    <dataValidation operator="greaterThanOrEqual" allowBlank="1" showInputMessage="1" showErrorMessage="1" sqref="C71:C80" xr:uid="{00000000-0002-0000-0200-000003000000}"/>
  </dataValidations>
  <pageMargins left="0.23622047244094502" right="0.23622047244094502" top="0.74803149606299202" bottom="0.74803149606299202" header="0.31496062992126" footer="0.31496062992126"/>
  <pageSetup paperSize="9" scale="66" orientation="landscape" cellComments="atEnd" r:id="rId1"/>
  <headerFooter>
    <oddHeader>&amp;CKarta úklidu&amp;RRooseveltova kolej</oddHeader>
    <oddFooter>&amp;RTištěno dne: &amp;D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xr:uid="{00000000-0002-0000-0200-000004000000}">
          <x14:formula1>
            <xm:f>0</xm:f>
          </x14:formula1>
          <x14:formula2>
            <xm:f>'Rozpis úklidu'!#REF!</xm:f>
          </x14:formula2>
          <xm:sqref>B63:C64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C70"/>
  <sheetViews>
    <sheetView workbookViewId="0"/>
  </sheetViews>
  <sheetFormatPr defaultRowHeight="15" x14ac:dyDescent="0.25"/>
  <cols>
    <col min="1" max="1" width="23.42578125" style="81" customWidth="1"/>
    <col min="2" max="2" width="142.7109375" style="32" customWidth="1"/>
  </cols>
  <sheetData>
    <row r="1" spans="1:2" ht="21" x14ac:dyDescent="0.35">
      <c r="A1" s="80"/>
      <c r="B1" s="80" t="s">
        <v>117</v>
      </c>
    </row>
    <row r="2" spans="1:2" ht="63.75" customHeight="1" x14ac:dyDescent="0.25">
      <c r="B2" s="32" t="s">
        <v>118</v>
      </c>
    </row>
    <row r="3" spans="1:2" x14ac:dyDescent="0.25">
      <c r="A3" s="82" t="s">
        <v>119</v>
      </c>
      <c r="B3" s="83"/>
    </row>
    <row r="4" spans="1:2" x14ac:dyDescent="0.25">
      <c r="A4" s="84" t="s">
        <v>120</v>
      </c>
      <c r="B4" s="85" t="s">
        <v>121</v>
      </c>
    </row>
    <row r="5" spans="1:2" x14ac:dyDescent="0.25">
      <c r="A5" s="84" t="s">
        <v>122</v>
      </c>
      <c r="B5" s="85" t="s">
        <v>123</v>
      </c>
    </row>
    <row r="6" spans="1:2" ht="30" x14ac:dyDescent="0.25">
      <c r="A6" s="84" t="s">
        <v>124</v>
      </c>
      <c r="B6" s="85" t="s">
        <v>125</v>
      </c>
    </row>
    <row r="7" spans="1:2" x14ac:dyDescent="0.25">
      <c r="A7" s="84" t="s">
        <v>126</v>
      </c>
      <c r="B7" s="85" t="s">
        <v>127</v>
      </c>
    </row>
    <row r="8" spans="1:2" x14ac:dyDescent="0.25">
      <c r="A8" s="84" t="s">
        <v>128</v>
      </c>
      <c r="B8" s="85" t="s">
        <v>129</v>
      </c>
    </row>
    <row r="9" spans="1:2" x14ac:dyDescent="0.25">
      <c r="A9" s="84" t="s">
        <v>130</v>
      </c>
      <c r="B9" s="85" t="s">
        <v>131</v>
      </c>
    </row>
    <row r="10" spans="1:2" x14ac:dyDescent="0.25">
      <c r="A10" s="84" t="s">
        <v>132</v>
      </c>
      <c r="B10" s="85" t="s">
        <v>133</v>
      </c>
    </row>
    <row r="11" spans="1:2" x14ac:dyDescent="0.25">
      <c r="A11" s="84" t="s">
        <v>134</v>
      </c>
      <c r="B11" s="85" t="s">
        <v>135</v>
      </c>
    </row>
    <row r="12" spans="1:2" x14ac:dyDescent="0.25">
      <c r="A12" s="84" t="s">
        <v>136</v>
      </c>
      <c r="B12" s="85" t="s">
        <v>137</v>
      </c>
    </row>
    <row r="13" spans="1:2" x14ac:dyDescent="0.25">
      <c r="A13" s="84" t="s">
        <v>138</v>
      </c>
      <c r="B13" s="85" t="s">
        <v>139</v>
      </c>
    </row>
    <row r="14" spans="1:2" x14ac:dyDescent="0.25">
      <c r="A14" s="84" t="s">
        <v>140</v>
      </c>
      <c r="B14" s="85" t="s">
        <v>141</v>
      </c>
    </row>
    <row r="15" spans="1:2" ht="30" x14ac:dyDescent="0.25">
      <c r="A15" s="84" t="s">
        <v>142</v>
      </c>
      <c r="B15" s="85" t="s">
        <v>143</v>
      </c>
    </row>
    <row r="16" spans="1:2" ht="30" x14ac:dyDescent="0.25">
      <c r="A16" s="84" t="s">
        <v>144</v>
      </c>
      <c r="B16" s="85" t="s">
        <v>145</v>
      </c>
    </row>
    <row r="17" spans="1:3" ht="30" x14ac:dyDescent="0.25">
      <c r="A17" s="84" t="s">
        <v>146</v>
      </c>
      <c r="B17" s="85" t="s">
        <v>147</v>
      </c>
    </row>
    <row r="18" spans="1:3" ht="30" x14ac:dyDescent="0.25">
      <c r="A18" s="84" t="s">
        <v>148</v>
      </c>
      <c r="B18" s="85" t="s">
        <v>149</v>
      </c>
    </row>
    <row r="19" spans="1:3" x14ac:dyDescent="0.25">
      <c r="A19" s="86"/>
      <c r="B19" s="87"/>
    </row>
    <row r="20" spans="1:3" ht="21" x14ac:dyDescent="0.35">
      <c r="A20" s="82" t="s">
        <v>150</v>
      </c>
      <c r="B20" s="88" t="s">
        <v>151</v>
      </c>
      <c r="C20" s="80"/>
    </row>
    <row r="21" spans="1:3" ht="51" customHeight="1" x14ac:dyDescent="0.25">
      <c r="A21" s="84" t="s">
        <v>152</v>
      </c>
      <c r="B21" s="85" t="s">
        <v>153</v>
      </c>
    </row>
    <row r="22" spans="1:3" ht="36" customHeight="1" x14ac:dyDescent="0.25">
      <c r="A22" s="84" t="s">
        <v>154</v>
      </c>
      <c r="B22" s="85" t="s">
        <v>155</v>
      </c>
    </row>
    <row r="23" spans="1:3" ht="65.25" customHeight="1" x14ac:dyDescent="0.25">
      <c r="A23" s="84" t="s">
        <v>156</v>
      </c>
      <c r="B23" s="85" t="s">
        <v>185</v>
      </c>
    </row>
    <row r="24" spans="1:3" ht="60" x14ac:dyDescent="0.25">
      <c r="A24" s="84" t="s">
        <v>157</v>
      </c>
      <c r="B24" s="85" t="s">
        <v>158</v>
      </c>
    </row>
    <row r="25" spans="1:3" ht="60" x14ac:dyDescent="0.25">
      <c r="A25" s="84" t="s">
        <v>159</v>
      </c>
      <c r="B25" s="85" t="s">
        <v>160</v>
      </c>
    </row>
    <row r="26" spans="1:3" ht="105" x14ac:dyDescent="0.25">
      <c r="A26" s="84" t="s">
        <v>161</v>
      </c>
      <c r="B26" s="85" t="s">
        <v>162</v>
      </c>
    </row>
    <row r="27" spans="1:3" ht="45" x14ac:dyDescent="0.25">
      <c r="A27" s="84" t="s">
        <v>163</v>
      </c>
      <c r="B27" s="85" t="s">
        <v>164</v>
      </c>
    </row>
    <row r="28" spans="1:3" ht="108.75" customHeight="1" x14ac:dyDescent="0.25">
      <c r="A28" s="84" t="s">
        <v>165</v>
      </c>
      <c r="B28" s="85" t="s">
        <v>166</v>
      </c>
    </row>
    <row r="29" spans="1:3" ht="45" x14ac:dyDescent="0.25">
      <c r="A29" s="84" t="s">
        <v>167</v>
      </c>
      <c r="B29" s="85" t="s">
        <v>168</v>
      </c>
    </row>
    <row r="30" spans="1:3" ht="60" x14ac:dyDescent="0.25">
      <c r="A30" s="84" t="s">
        <v>169</v>
      </c>
      <c r="B30" s="85" t="s">
        <v>170</v>
      </c>
    </row>
    <row r="31" spans="1:3" ht="30" x14ac:dyDescent="0.25">
      <c r="A31" s="84" t="s">
        <v>171</v>
      </c>
      <c r="B31" s="85" t="s">
        <v>172</v>
      </c>
    </row>
    <row r="32" spans="1:3" ht="30" x14ac:dyDescent="0.25">
      <c r="A32" s="84" t="s">
        <v>173</v>
      </c>
      <c r="B32" s="85" t="s">
        <v>174</v>
      </c>
    </row>
    <row r="33" spans="1:2" ht="30" x14ac:dyDescent="0.25">
      <c r="A33" s="84" t="s">
        <v>175</v>
      </c>
      <c r="B33" s="85" t="s">
        <v>176</v>
      </c>
    </row>
    <row r="34" spans="1:2" ht="60" x14ac:dyDescent="0.25">
      <c r="A34" s="84" t="s">
        <v>177</v>
      </c>
      <c r="B34" s="85" t="s">
        <v>178</v>
      </c>
    </row>
    <row r="35" spans="1:2" ht="75" x14ac:dyDescent="0.25">
      <c r="A35" s="84" t="s">
        <v>179</v>
      </c>
      <c r="B35" s="85" t="s">
        <v>180</v>
      </c>
    </row>
    <row r="36" spans="1:2" x14ac:dyDescent="0.25">
      <c r="A36" s="86"/>
      <c r="B36" s="87"/>
    </row>
    <row r="37" spans="1:2" x14ac:dyDescent="0.25">
      <c r="A37" s="86"/>
      <c r="B37" s="87"/>
    </row>
    <row r="38" spans="1:2" x14ac:dyDescent="0.25">
      <c r="A38" s="86"/>
      <c r="B38" s="87"/>
    </row>
    <row r="39" spans="1:2" x14ac:dyDescent="0.25">
      <c r="A39" s="86"/>
      <c r="B39" s="87"/>
    </row>
    <row r="40" spans="1:2" x14ac:dyDescent="0.25">
      <c r="A40" s="86"/>
      <c r="B40" s="87"/>
    </row>
    <row r="41" spans="1:2" x14ac:dyDescent="0.25">
      <c r="A41" s="86"/>
      <c r="B41" s="87"/>
    </row>
    <row r="42" spans="1:2" x14ac:dyDescent="0.25">
      <c r="A42" s="86"/>
      <c r="B42" s="87"/>
    </row>
    <row r="43" spans="1:2" x14ac:dyDescent="0.25">
      <c r="A43" s="86"/>
      <c r="B43" s="87"/>
    </row>
    <row r="44" spans="1:2" x14ac:dyDescent="0.25">
      <c r="A44" s="86"/>
      <c r="B44" s="87"/>
    </row>
    <row r="45" spans="1:2" x14ac:dyDescent="0.25">
      <c r="A45" s="86"/>
      <c r="B45" s="87"/>
    </row>
    <row r="46" spans="1:2" x14ac:dyDescent="0.25">
      <c r="A46" s="86"/>
      <c r="B46" s="87"/>
    </row>
    <row r="47" spans="1:2" x14ac:dyDescent="0.25">
      <c r="A47" s="86"/>
      <c r="B47" s="87"/>
    </row>
    <row r="48" spans="1:2" x14ac:dyDescent="0.25">
      <c r="A48" s="86"/>
      <c r="B48" s="87"/>
    </row>
    <row r="49" spans="1:2" x14ac:dyDescent="0.25">
      <c r="A49" s="86"/>
      <c r="B49" s="87"/>
    </row>
    <row r="50" spans="1:2" x14ac:dyDescent="0.25">
      <c r="A50" s="86"/>
      <c r="B50" s="87"/>
    </row>
    <row r="51" spans="1:2" x14ac:dyDescent="0.25">
      <c r="A51" s="86"/>
      <c r="B51" s="87"/>
    </row>
    <row r="52" spans="1:2" x14ac:dyDescent="0.25">
      <c r="A52" s="86"/>
      <c r="B52" s="87"/>
    </row>
    <row r="53" spans="1:2" x14ac:dyDescent="0.25">
      <c r="A53" s="86"/>
      <c r="B53" s="87"/>
    </row>
    <row r="54" spans="1:2" x14ac:dyDescent="0.25">
      <c r="A54" s="86"/>
      <c r="B54" s="87"/>
    </row>
    <row r="55" spans="1:2" x14ac:dyDescent="0.25">
      <c r="A55" s="86"/>
      <c r="B55" s="87"/>
    </row>
    <row r="56" spans="1:2" x14ac:dyDescent="0.25">
      <c r="A56" s="86"/>
      <c r="B56" s="87"/>
    </row>
    <row r="57" spans="1:2" x14ac:dyDescent="0.25">
      <c r="A57" s="86"/>
      <c r="B57" s="87"/>
    </row>
    <row r="58" spans="1:2" x14ac:dyDescent="0.25">
      <c r="A58" s="86"/>
      <c r="B58" s="87"/>
    </row>
    <row r="59" spans="1:2" x14ac:dyDescent="0.25">
      <c r="A59" s="86"/>
      <c r="B59" s="87"/>
    </row>
    <row r="60" spans="1:2" x14ac:dyDescent="0.25">
      <c r="A60" s="86"/>
      <c r="B60" s="87"/>
    </row>
    <row r="61" spans="1:2" x14ac:dyDescent="0.25">
      <c r="A61" s="86"/>
      <c r="B61" s="87"/>
    </row>
    <row r="62" spans="1:2" x14ac:dyDescent="0.25">
      <c r="A62" s="86"/>
      <c r="B62" s="87"/>
    </row>
    <row r="63" spans="1:2" x14ac:dyDescent="0.25">
      <c r="A63" s="86"/>
      <c r="B63" s="87"/>
    </row>
    <row r="64" spans="1:2" x14ac:dyDescent="0.25">
      <c r="A64" s="86"/>
      <c r="B64" s="87"/>
    </row>
    <row r="65" spans="1:2" x14ac:dyDescent="0.25">
      <c r="A65" s="86"/>
      <c r="B65" s="87"/>
    </row>
    <row r="66" spans="1:2" x14ac:dyDescent="0.25">
      <c r="A66" s="86"/>
      <c r="B66" s="87"/>
    </row>
    <row r="67" spans="1:2" x14ac:dyDescent="0.25">
      <c r="A67" s="86"/>
    </row>
    <row r="68" spans="1:2" x14ac:dyDescent="0.25">
      <c r="A68" s="86"/>
    </row>
    <row r="69" spans="1:2" x14ac:dyDescent="0.25">
      <c r="A69" s="86"/>
    </row>
    <row r="70" spans="1:2" x14ac:dyDescent="0.25">
      <c r="A70" s="86"/>
    </row>
  </sheetData>
  <sheetProtection algorithmName="SHA-512" hashValue="A6FCiBkTQ0zyWoOPJy+m/exy0VLhJjizMDliHsED39kdVVjcJsSquV/pmKhRCZgd3BwiQEVXj8IkN+KPhSvc5A==" saltValue="Qz0eEcmLcuJnltPa8jlEB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4F9A778E52C1419E0C37B04469643E" ma:contentTypeVersion="13" ma:contentTypeDescription="Vytvoří nový dokument" ma:contentTypeScope="" ma:versionID="acf21b90d8a6dddd5a68f9f9e6a9864c">
  <xsd:schema xmlns:xsd="http://www.w3.org/2001/XMLSchema" xmlns:xs="http://www.w3.org/2001/XMLSchema" xmlns:p="http://schemas.microsoft.com/office/2006/metadata/properties" xmlns:ns3="229b27b7-9edd-4f47-b43c-eb92647b62ec" xmlns:ns4="20a81ccd-d019-4e66-83b1-abb0919f5858" targetNamespace="http://schemas.microsoft.com/office/2006/metadata/properties" ma:root="true" ma:fieldsID="5ad636711c829a4e037c4a7603293e14" ns3:_="" ns4:_="">
    <xsd:import namespace="229b27b7-9edd-4f47-b43c-eb92647b62ec"/>
    <xsd:import namespace="20a81ccd-d019-4e66-83b1-abb0919f585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b27b7-9edd-4f47-b43c-eb92647b62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81ccd-d019-4e66-83b1-abb0919f585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5F6C0B-1E98-43BB-A622-DA9CE9C4E0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9b27b7-9edd-4f47-b43c-eb92647b62ec"/>
    <ds:schemaRef ds:uri="20a81ccd-d019-4e66-83b1-abb0919f58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245E74-EE41-4A11-8E79-A0FEAFA8A81A}">
  <ds:schemaRefs>
    <ds:schemaRef ds:uri="229b27b7-9edd-4f47-b43c-eb92647b62ec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20a81ccd-d019-4e66-83b1-abb0919f5858"/>
  </ds:schemaRefs>
</ds:datastoreItem>
</file>

<file path=customXml/itemProps3.xml><?xml version="1.0" encoding="utf-8"?>
<ds:datastoreItem xmlns:ds="http://schemas.openxmlformats.org/officeDocument/2006/customXml" ds:itemID="{047A720B-8BB7-43D7-9EC4-24493E92D8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Základní údaje</vt:lpstr>
      <vt:lpstr>Rozpis úklidu</vt:lpstr>
      <vt:lpstr>Karty úklidu</vt:lpstr>
      <vt:lpstr>Činnosti úklidu</vt:lpstr>
      <vt:lpstr>'Karty úklidu'!Oblast_tisku</vt:lpstr>
      <vt:lpstr>'Rozpis úklidu'!Oblast_tisku</vt:lpstr>
      <vt:lpstr>'Základní údaje'!Oblast_tisku</vt:lpstr>
    </vt:vector>
  </TitlesOfParts>
  <Company>VŠE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zavj02</dc:creator>
  <cp:lastModifiedBy>Jan Zavřel</cp:lastModifiedBy>
  <cp:lastPrinted>2026-04-15T13:59:45Z</cp:lastPrinted>
  <dcterms:created xsi:type="dcterms:W3CDTF">2019-01-18T09:28:59Z</dcterms:created>
  <dcterms:modified xsi:type="dcterms:W3CDTF">2026-04-15T14:47:34Z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0x010100324F9A778E52C1419E0C37B04469643E</vt:lpwstr>
  </property>
</Properties>
</file>