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065" windowHeight="4515" firstSheet="21" activeTab="26"/>
  </bookViews>
  <sheets>
    <sheet name="podmínky" sheetId="5" r:id="rId1"/>
    <sheet name="titllist" sheetId="1" r:id="rId2"/>
    <sheet name="VV CELKEM" sheetId="2" r:id="rId3"/>
    <sheet name="VV 1.NP NB " sheetId="3" r:id="rId4"/>
    <sheet name="VV EL silnoproud 1.NP NB" sheetId="4" r:id="rId5"/>
    <sheet name="VV EL slaboproud 1.NP NB" sheetId="6" r:id="rId6"/>
    <sheet name="VV ZTI 1.NP NB" sheetId="7" r:id="rId7"/>
    <sheet name="VV NB 153" sheetId="8" r:id="rId8"/>
    <sheet name="VV EL silnoproud NB 153" sheetId="9" r:id="rId9"/>
    <sheet name="VV EL slaboproud NB 153" sheetId="10" r:id="rId10"/>
    <sheet name="VV ZTI NB 153" sheetId="11" r:id="rId11"/>
    <sheet name="VV NB 177a" sheetId="12" r:id="rId12"/>
    <sheet name="VV EL silnoproud NB 177a" sheetId="13" r:id="rId13"/>
    <sheet name="VV EL slaboproud NB 177a" sheetId="14" r:id="rId14"/>
    <sheet name="VV NB 177b" sheetId="15" r:id="rId15"/>
    <sheet name="VV EL silnoproud NB 177b" sheetId="18" r:id="rId16"/>
    <sheet name="VV EL slaboproud NB 177b" sheetId="19" r:id="rId17"/>
    <sheet name="VV NB 225" sheetId="20" r:id="rId18"/>
    <sheet name="VV EL silnoproud NB 225" sheetId="21" r:id="rId19"/>
    <sheet name="VV EL slaboproud NB 225" sheetId="22" r:id="rId20"/>
    <sheet name="VV ZTI NB 225" sheetId="23" r:id="rId21"/>
    <sheet name="VV NB 260" sheetId="24" r:id="rId22"/>
    <sheet name="VV EL silnoproud NB 260" sheetId="25" r:id="rId23"/>
    <sheet name="VV EL slaboproud NB 260" sheetId="26" r:id="rId24"/>
    <sheet name="VV SB 126" sheetId="27" r:id="rId25"/>
    <sheet name="VV EL silnoproud SB 126" sheetId="28" r:id="rId26"/>
    <sheet name="VV EL slaboproud SB 126" sheetId="29" r:id="rId27"/>
    <sheet name="List30" sheetId="30" r:id="rId28"/>
  </sheets>
  <externalReferences>
    <externalReference r:id="rId31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<sst xmlns="http://schemas.openxmlformats.org/spreadsheetml/2006/main" count="2825" uniqueCount="608">
  <si>
    <t>Příloha č. 1</t>
  </si>
  <si>
    <t>Všeobecné podmínky 
k 
Soupisu stavebních prací a dodávek s výkazem výměr</t>
  </si>
  <si>
    <t>Smluvní strany se budou řídit právním řádem České republiky</t>
  </si>
  <si>
    <t xml:space="preserve">Jednotkové ceny nabídky zahrnují zejména : 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</si>
  <si>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</si>
  <si>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</si>
  <si>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</si>
  <si>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</si>
  <si>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</si>
  <si>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</si>
  <si>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</si>
  <si>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</si>
  <si>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</si>
  <si>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</si>
  <si>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</si>
  <si>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</si>
  <si>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</si>
  <si>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</si>
  <si>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</si>
  <si>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</si>
  <si>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</si>
  <si>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</si>
  <si>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</si>
  <si>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</si>
  <si>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</si>
  <si>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</si>
  <si>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</si>
  <si>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</si>
  <si>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</si>
  <si>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>26) Všechny vybourané kovové předměty budou zváženy, (jejich hmotnost před odvozem zvážena a zapsána do stavebního deníku) odvezeny do Kovošrotu a prodány za cenu platnou v den přijetí. Výnos z prodeje bude poslán na účet investora.</t>
  </si>
  <si>
    <t>27) V jednotkových cenách je uveden přesun hmot není-li uveden samostatně.</t>
  </si>
  <si>
    <t xml:space="preserve"> V Ý K A Z   V Ý M Ě R</t>
  </si>
  <si>
    <t xml:space="preserve"> akce :</t>
  </si>
  <si>
    <t>investor  :</t>
  </si>
  <si>
    <r>
      <t xml:space="preserve">Vysoká škola ekonomická
 </t>
    </r>
    <r>
      <rPr>
        <sz val="9"/>
        <rFont val="Arial"/>
        <family val="2"/>
      </rPr>
      <t>nám. W CHURCHILLA, PRAHA 3, 130 67</t>
    </r>
  </si>
  <si>
    <t>místo stavby :</t>
  </si>
  <si>
    <t>generální projektant :</t>
  </si>
  <si>
    <t>ing. Radim Jareš</t>
  </si>
  <si>
    <r>
      <rPr>
        <sz val="11"/>
        <color theme="1"/>
        <rFont val="Calibri"/>
        <family val="2"/>
        <scheme val="minor"/>
      </rPr>
      <t xml:space="preserve">stupeň </t>
    </r>
    <r>
      <rPr>
        <b/>
        <sz val="10"/>
        <rFont val="Arial CE"/>
        <family val="2"/>
      </rPr>
      <t xml:space="preserve">:  </t>
    </r>
  </si>
  <si>
    <t>DPS</t>
  </si>
  <si>
    <t>stavební rozpočet sestavil:</t>
  </si>
  <si>
    <t>Věra Ulčová (+420773518887)</t>
  </si>
  <si>
    <t xml:space="preserve">Mirovická 1081, 182 00 Praha 8 </t>
  </si>
  <si>
    <t>ing Josef Fuk (+420606643181)</t>
  </si>
  <si>
    <t>V Podbabě 2516, 160 00 Praha 6</t>
  </si>
  <si>
    <t>Úprava prostor (OP JAK – Ph.D. Infra) – stavební práce</t>
  </si>
  <si>
    <t>V Ý K A Z   V Ý M Ě R</t>
  </si>
  <si>
    <r>
      <t xml:space="preserve">Vysoká škola ekonomická
 </t>
    </r>
    <r>
      <rPr>
        <sz val="9"/>
        <color indexed="8"/>
        <rFont val="Arial"/>
        <family val="2"/>
      </rPr>
      <t>nám. W CHURCHILLA, PRAHA 3, 130 67</t>
    </r>
  </si>
  <si>
    <t>Rekapitulace nákladů</t>
  </si>
  <si>
    <t>Základní rozpočtové náklady</t>
  </si>
  <si>
    <t>1.NP NB</t>
  </si>
  <si>
    <t>Kč</t>
  </si>
  <si>
    <t>NB 153</t>
  </si>
  <si>
    <t>NB 177a</t>
  </si>
  <si>
    <t>NB 177b</t>
  </si>
  <si>
    <t>NB 225</t>
  </si>
  <si>
    <t>NB 260</t>
  </si>
  <si>
    <t>SB 126</t>
  </si>
  <si>
    <t>mezisoučet bez DPH</t>
  </si>
  <si>
    <t>Vedlejší rozpočtové náklady</t>
  </si>
  <si>
    <t>Zařízení staveniště 2,5%</t>
  </si>
  <si>
    <t>Náklady celkem bez DPH</t>
  </si>
  <si>
    <t>DPH 21%</t>
  </si>
  <si>
    <t>Náklady celkem včetně DPH</t>
  </si>
  <si>
    <t xml:space="preserve">
Úprava prostor (OP JAK – Ph.D. Infra) – stavební práce</t>
  </si>
  <si>
    <t xml:space="preserve">Rekapitulace nákladů </t>
  </si>
  <si>
    <t>1</t>
  </si>
  <si>
    <t>2</t>
  </si>
  <si>
    <t>Přípravné práce</t>
  </si>
  <si>
    <t>3</t>
  </si>
  <si>
    <t>Bourání konstrukcí</t>
  </si>
  <si>
    <t>4</t>
  </si>
  <si>
    <t>Úprava povrchů vnitřních</t>
  </si>
  <si>
    <t>5</t>
  </si>
  <si>
    <t>Podlahy povlakové</t>
  </si>
  <si>
    <t>6</t>
  </si>
  <si>
    <t>SDK konstrukce</t>
  </si>
  <si>
    <t>7</t>
  </si>
  <si>
    <t>Obklady keramické</t>
  </si>
  <si>
    <t>8</t>
  </si>
  <si>
    <t>Malby</t>
  </si>
  <si>
    <t>10</t>
  </si>
  <si>
    <t>Elektroinstalace - silnoproud</t>
  </si>
  <si>
    <t>11</t>
  </si>
  <si>
    <t>Elektroinstalace - slaboproud</t>
  </si>
  <si>
    <t>12</t>
  </si>
  <si>
    <t>Zdravotní instalace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</si>
  <si>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</si>
  <si>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</si>
  <si>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</si>
  <si>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</si>
  <si>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</si>
  <si>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</si>
  <si>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</si>
  <si>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</si>
  <si>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</si>
  <si>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</si>
  <si>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</si>
  <si>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</si>
  <si>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</si>
  <si>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</si>
  <si>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</si>
  <si>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</si>
  <si>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</si>
  <si>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</si>
  <si>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položka č.</t>
  </si>
  <si>
    <t>popis prací a dodávek</t>
  </si>
  <si>
    <t>m.j.</t>
  </si>
  <si>
    <t>počet m.j.</t>
  </si>
  <si>
    <t>cena / m.j.</t>
  </si>
  <si>
    <t>cena celkem</t>
  </si>
  <si>
    <r>
      <t xml:space="preserve">hmotnost </t>
    </r>
    <r>
      <rPr>
        <b/>
        <sz val="7"/>
        <color indexed="8"/>
        <rFont val="Arial"/>
        <family val="2"/>
      </rPr>
      <t xml:space="preserve">t </t>
    </r>
    <r>
      <rPr>
        <sz val="7"/>
        <color indexed="8"/>
        <rFont val="Arial"/>
        <family val="2"/>
      </rPr>
      <t>celkem</t>
    </r>
  </si>
  <si>
    <t>31</t>
  </si>
  <si>
    <t>Všeobecné poznámky:
1) Soupis prací a dodávek s výkazem výměr je zpracován dle DPS za použití  cen obvyklých ve stavebnictví.  dle ustanovení § 2 zákona č.526/1990 Sb., o cenách ve znění pozdějších předpisů a vyhlášky č. 169/2016. Za sjednání jednotkových cen a za soupis prací s výkazem výměr  v plném rozsahu zodpovídají smluvní strany.</t>
  </si>
  <si>
    <t>32</t>
  </si>
  <si>
    <t>2) nedílnou součástí Rozpočtu je PD, která  je mu technicky nadřazena + příloha č. 1</t>
  </si>
  <si>
    <t>33</t>
  </si>
  <si>
    <t>V jednotkových cenách je uveden přesun hmot není-li uveden samostatně. Výměry jsou vykázány odměřením digitálně a dle kótování.</t>
  </si>
  <si>
    <t>34</t>
  </si>
  <si>
    <t>35</t>
  </si>
  <si>
    <t>Stavební úpavy pro místnost v 1.NP NB</t>
  </si>
  <si>
    <t>36</t>
  </si>
  <si>
    <t>37</t>
  </si>
  <si>
    <t>PŘÍPRAVNÉ PRÁCE</t>
  </si>
  <si>
    <t>celkem</t>
  </si>
  <si>
    <t>38</t>
  </si>
  <si>
    <r>
      <rPr>
        <b/>
        <sz val="9"/>
        <rFont val="Arial"/>
        <family val="2"/>
      </rPr>
      <t>Vypnutí elektrického proudu</t>
    </r>
    <r>
      <rPr>
        <sz val="9"/>
        <rFont val="Arial"/>
        <family val="2"/>
      </rPr>
      <t xml:space="preserve"> v místech dotčených stavebními pracemi a zpětné zapnut</t>
    </r>
    <r>
      <rPr>
        <b/>
        <sz val="9"/>
        <rFont val="Arial"/>
        <family val="2"/>
      </rPr>
      <t>í po provedení stavebních úprav</t>
    </r>
  </si>
  <si>
    <t>ks</t>
  </si>
  <si>
    <t>39</t>
  </si>
  <si>
    <r>
      <rPr>
        <b/>
        <sz val="9"/>
        <rFont val="Arial"/>
        <family val="2"/>
      </rPr>
      <t>Vyklizení předmětů</t>
    </r>
    <r>
      <rPr>
        <sz val="9"/>
        <rFont val="Arial"/>
        <family val="2"/>
      </rPr>
      <t xml:space="preserve"> (stávající nábytek ) v dotčených místnostech stavebními úpravami, na předem určené místo objednatelem. 
výměry : 5,86*5,90-0,50*0,40*2-(0,15*0,50)*5</t>
    </r>
  </si>
  <si>
    <t>m2</t>
  </si>
  <si>
    <t>40</t>
  </si>
  <si>
    <t>HZS2492</t>
  </si>
  <si>
    <r>
      <rPr>
        <b/>
        <sz val="9"/>
        <rFont val="Arial"/>
        <family val="2"/>
      </rPr>
      <t xml:space="preserve">Přemístění </t>
    </r>
    <r>
      <rPr>
        <sz val="9"/>
        <rFont val="Arial"/>
        <family val="2"/>
      </rPr>
      <t xml:space="preserve">pro dočasné uskladnění a zpětné nastěhování dotčených předmětů do cca 50m tam a zpět </t>
    </r>
  </si>
  <si>
    <t>hod</t>
  </si>
  <si>
    <t>41</t>
  </si>
  <si>
    <r>
      <rPr>
        <b/>
        <sz val="9"/>
        <rFont val="Arial"/>
        <family val="2"/>
      </rPr>
      <t>Ochrana stavebních konstrukcí</t>
    </r>
    <r>
      <rPr>
        <sz val="9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2,50*2,10*2+1,00*2,00*1</t>
    </r>
  </si>
  <si>
    <t>42</t>
  </si>
  <si>
    <t>766812820/P</t>
  </si>
  <si>
    <r>
      <rPr>
        <b/>
        <sz val="9"/>
        <rFont val="Arial CE"/>
        <family val="2"/>
      </rPr>
      <t>Demontáž kuchyňských linek</t>
    </r>
    <r>
      <rPr>
        <sz val="9"/>
        <rFont val="Arial CE"/>
        <family val="2"/>
      </rPr>
      <t xml:space="preserve"> dřevěných nebo kovových včetně skříněk uchycených na stěně, délky do 1500 mm včetně likvidace</t>
    </r>
  </si>
  <si>
    <t>43</t>
  </si>
  <si>
    <t>725820802/P</t>
  </si>
  <si>
    <r>
      <rPr>
        <b/>
        <sz val="9"/>
        <rFont val="Arial CE"/>
        <family val="2"/>
      </rPr>
      <t xml:space="preserve">Demontáž baterie </t>
    </r>
    <r>
      <rPr>
        <sz val="9"/>
        <rFont val="Arial CE"/>
        <family val="2"/>
      </rPr>
      <t>dřezové stojánkové do jednoho otvoru včetně likvidace</t>
    </r>
  </si>
  <si>
    <t>44</t>
  </si>
  <si>
    <t>45</t>
  </si>
  <si>
    <t>46</t>
  </si>
  <si>
    <t>BOURÁNÍ KONSTRUKCÍ</t>
  </si>
  <si>
    <t>47</t>
  </si>
  <si>
    <r>
      <rPr>
        <b/>
        <sz val="9"/>
        <rFont val="Arial"/>
        <family val="2"/>
      </rPr>
      <t>Vysekání rýh</t>
    </r>
    <r>
      <rPr>
        <sz val="9"/>
        <rFont val="Arial"/>
        <family val="2"/>
      </rPr>
      <t xml:space="preserve"> ve zdivu cihelném hl do 70 mm š do 100 mm (pro potrubí ZTI )</t>
    </r>
  </si>
  <si>
    <t>bm</t>
  </si>
  <si>
    <t>48</t>
  </si>
  <si>
    <r>
      <rPr>
        <b/>
        <sz val="9"/>
        <rFont val="Arial"/>
        <family val="2"/>
      </rPr>
      <t>Vysekání rýh</t>
    </r>
    <r>
      <rPr>
        <sz val="9"/>
        <rFont val="Arial"/>
        <family val="2"/>
      </rPr>
      <t xml:space="preserve"> ve zdivu cihelném hl do 30 mm š do 70 mm (pro rozvody El)</t>
    </r>
  </si>
  <si>
    <t>49</t>
  </si>
  <si>
    <t>50</t>
  </si>
  <si>
    <r>
      <rPr>
        <b/>
        <sz val="9"/>
        <rFont val="Arial"/>
        <family val="2"/>
      </rPr>
      <t xml:space="preserve">Demontáž obkladů </t>
    </r>
    <r>
      <rPr>
        <sz val="9"/>
        <rFont val="Arial"/>
        <family val="2"/>
      </rPr>
      <t>z obkladaček keramických kladených do malty</t>
    </r>
  </si>
  <si>
    <t>51</t>
  </si>
  <si>
    <r>
      <rPr>
        <b/>
        <sz val="9"/>
        <rFont val="Arial CE"/>
        <family val="2"/>
      </rPr>
      <t xml:space="preserve">Vnitrostaveništní doprava </t>
    </r>
    <r>
      <rPr>
        <sz val="9"/>
        <rFont val="Arial CE"/>
        <family val="2"/>
      </rPr>
      <t>suti a vybouraných hmot pro budovy v do 6 m s omezením mechanizace</t>
    </r>
  </si>
  <si>
    <t>t</t>
  </si>
  <si>
    <t>52</t>
  </si>
  <si>
    <r>
      <t xml:space="preserve">výměry : </t>
    </r>
    <r>
      <rPr>
        <sz val="8"/>
        <rFont val="Arial CE"/>
        <family val="2"/>
      </rPr>
      <t>stavební suť 0,55t + koberce 0,010t + malby 0,03t</t>
    </r>
  </si>
  <si>
    <t>53</t>
  </si>
  <si>
    <r>
      <rPr>
        <b/>
        <sz val="9"/>
        <rFont val="Arial CE"/>
        <family val="2"/>
      </rPr>
      <t>Odvoz suti</t>
    </r>
    <r>
      <rPr>
        <sz val="9"/>
        <rFont val="Arial CE"/>
        <family val="2"/>
      </rPr>
      <t xml:space="preserve"> a vybouraných hmot na skládku nebo meziskládku </t>
    </r>
    <r>
      <rPr>
        <b/>
        <sz val="9"/>
        <rFont val="Arial CE"/>
        <family val="2"/>
      </rPr>
      <t>do 1 km se složením</t>
    </r>
  </si>
  <si>
    <t>54</t>
  </si>
  <si>
    <r>
      <rPr>
        <b/>
        <sz val="9"/>
        <rFont val="Arial CE"/>
        <family val="2"/>
      </rPr>
      <t>Příplatek</t>
    </r>
    <r>
      <rPr>
        <sz val="9"/>
        <rFont val="Arial CE"/>
        <family val="2"/>
      </rPr>
      <t xml:space="preserve"> k odvozu suti a vybouraných hmot na skládku </t>
    </r>
    <r>
      <rPr>
        <b/>
        <sz val="9"/>
        <rFont val="Arial CE"/>
        <family val="2"/>
      </rPr>
      <t xml:space="preserve">ZKD 1 km přes 1 km 
(cena : </t>
    </r>
    <r>
      <rPr>
        <sz val="9"/>
        <rFont val="Arial CE"/>
        <family val="2"/>
      </rPr>
      <t>20km *13,70Kč/km)</t>
    </r>
  </si>
  <si>
    <t>55</t>
  </si>
  <si>
    <r>
      <rPr>
        <b/>
        <sz val="9"/>
        <rFont val="Arial CE"/>
        <family val="2"/>
      </rPr>
      <t>Poplatek </t>
    </r>
    <r>
      <rPr>
        <sz val="9"/>
        <rFont val="Arial CE"/>
        <family val="2"/>
      </rPr>
      <t>za uložení na skládce stavebního odpadu ze směsí nebo oddělených frakcí betonu, cihel a keramických výrobků kód odpadu 17 01 07</t>
    </r>
  </si>
  <si>
    <t>56</t>
  </si>
  <si>
    <r>
      <rPr>
        <b/>
        <sz val="9"/>
        <rFont val="Arial CE"/>
        <family val="2"/>
      </rPr>
      <t>Poplatek</t>
    </r>
    <r>
      <rPr>
        <sz val="9"/>
        <rFont val="Arial CE"/>
        <family val="2"/>
      </rPr>
      <t> za uložení na skládce stavebního odpadu z plastických hmot (koberec) kód odpadu 17 02 03 
(t=viz podlahy povlakové)</t>
    </r>
  </si>
  <si>
    <t>57</t>
  </si>
  <si>
    <t>58</t>
  </si>
  <si>
    <t>ÚPRAVA POVRCHŮ VNITŘNÍCH</t>
  </si>
  <si>
    <t>59</t>
  </si>
  <si>
    <r>
      <rPr>
        <b/>
        <sz val="9"/>
        <rFont val="Arial CE"/>
        <family val="2"/>
      </rPr>
      <t>Hrubá výplň</t>
    </r>
    <r>
      <rPr>
        <sz val="9"/>
        <rFont val="Arial CE"/>
        <family val="2"/>
      </rPr>
      <t xml:space="preserve"> rýh ve stropech maltou jakékoli šířky rýhy
výměry : 0,100*15+0,070*60</t>
    </r>
  </si>
  <si>
    <t>60</t>
  </si>
  <si>
    <r>
      <rPr>
        <b/>
        <sz val="9"/>
        <rFont val="Arial CE"/>
        <family val="2"/>
      </rPr>
      <t>Vápenocementová štuková</t>
    </r>
    <r>
      <rPr>
        <sz val="9"/>
        <rFont val="Arial CE"/>
        <family val="2"/>
      </rPr>
      <t xml:space="preserve"> omítka rýh ve stěnách š do 150 mm. výměry: 0,15*(15,0+60,0)</t>
    </r>
  </si>
  <si>
    <t>61</t>
  </si>
  <si>
    <r>
      <rPr>
        <b/>
        <sz val="9"/>
        <rFont val="Arial CE"/>
        <family val="2"/>
      </rPr>
      <t xml:space="preserve">Vápenná štuková </t>
    </r>
    <r>
      <rPr>
        <sz val="9"/>
        <rFont val="Arial CE"/>
        <family val="2"/>
      </rPr>
      <t>omítka malých ploch přes 0,09 do 0,25 m2 na stěnách</t>
    </r>
  </si>
  <si>
    <t>62</t>
  </si>
  <si>
    <t>Plánovací cena</t>
  </si>
  <si>
    <r>
      <rPr>
        <b/>
        <sz val="9"/>
        <rFont val="Arial CE"/>
        <family val="2"/>
      </rPr>
      <t xml:space="preserve">Úpravy povrchů </t>
    </r>
    <r>
      <rPr>
        <sz val="9"/>
        <rFont val="Arial CE"/>
        <family val="2"/>
      </rPr>
      <t xml:space="preserve"> po montáži nových rozvodů elektro silno a slabo na chodbě + vybourání prostupů stěnami včetně likvidace, odvozu a skládkovného</t>
    </r>
  </si>
  <si>
    <t>kpl</t>
  </si>
  <si>
    <t>63</t>
  </si>
  <si>
    <t>Vyčištění budov nebo objektů před předáním do užívání budov bytové nebo občanské výstavby, světlé výšky podlaží do 4 m .
výměry :5,86*5,90-0,40*0,50*2-(0,15+0,50)*4</t>
  </si>
  <si>
    <t>64</t>
  </si>
  <si>
    <r>
      <t xml:space="preserve">Přesun hmot </t>
    </r>
    <r>
      <rPr>
        <sz val="9"/>
        <rFont val="Arial CE"/>
        <family val="2"/>
      </rPr>
      <t>pro budovy zděné </t>
    </r>
  </si>
  <si>
    <t>65</t>
  </si>
  <si>
    <t>66</t>
  </si>
  <si>
    <t>67</t>
  </si>
  <si>
    <t>PODLAHY POVLAKOVÉ</t>
  </si>
  <si>
    <t>součet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</si>
  <si>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</si>
  <si>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</si>
  <si>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</si>
  <si>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</si>
  <si>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</si>
  <si>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</si>
  <si>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</si>
  <si>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</si>
  <si>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</si>
  <si>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</si>
  <si>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</si>
  <si>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%</t>
  </si>
  <si>
    <t>79</t>
  </si>
  <si>
    <t>80</t>
  </si>
  <si>
    <t>81</t>
  </si>
  <si>
    <t>SDK KONSTRUKCE</t>
  </si>
  <si>
    <t xml:space="preserve">Kč </t>
  </si>
  <si>
    <t>82</t>
  </si>
  <si>
    <r>
      <rPr>
        <b/>
        <sz val="9"/>
        <rFont val="Arial CE"/>
        <family val="2"/>
      </rPr>
      <t xml:space="preserve">Kuchyňská předstěna SDK 12,5mm- </t>
    </r>
    <r>
      <rPr>
        <sz val="9"/>
        <rFont val="Arial CE"/>
        <family val="2"/>
      </rPr>
      <t xml:space="preserve">dodávka a montáž </t>
    </r>
  </si>
  <si>
    <t>83</t>
  </si>
  <si>
    <t>84</t>
  </si>
  <si>
    <t>85</t>
  </si>
  <si>
    <t>86</t>
  </si>
  <si>
    <t>OBKLADY KERAMICKÉ</t>
  </si>
  <si>
    <t>87</t>
  </si>
  <si>
    <t>Výměry  pro montáž 2,55*0,60+0,50*0,60*2*2</t>
  </si>
  <si>
    <t>88</t>
  </si>
  <si>
    <r>
      <rPr>
        <b/>
        <sz val="9"/>
        <rFont val="Arial CE"/>
        <family val="2"/>
      </rPr>
      <t xml:space="preserve">Ometení </t>
    </r>
    <r>
      <rPr>
        <sz val="9"/>
        <rFont val="Arial CE"/>
        <family val="2"/>
      </rPr>
      <t>(oprášení) stěny při přípravě podkladu</t>
    </r>
  </si>
  <si>
    <t>89</t>
  </si>
  <si>
    <r>
      <rPr>
        <b/>
        <sz val="9"/>
        <rFont val="Arial CE"/>
        <family val="2"/>
      </rPr>
      <t xml:space="preserve">Nátěr penetrační </t>
    </r>
    <r>
      <rPr>
        <sz val="9"/>
        <rFont val="Arial CE"/>
        <family val="2"/>
      </rPr>
      <t>na stěnu</t>
    </r>
  </si>
  <si>
    <t>90</t>
  </si>
  <si>
    <r>
      <rPr>
        <b/>
        <sz val="9"/>
        <rFont val="Arial CE"/>
        <family val="2"/>
      </rPr>
      <t>Montáž obkladů</t>
    </r>
    <r>
      <rPr>
        <sz val="9"/>
        <rFont val="Arial CE"/>
        <family val="2"/>
      </rPr>
      <t xml:space="preserve"> vnitřních keramických velkoformátových z dekorů přes 4 do 6 ks/m2 
lepených flexibilním lepidlem</t>
    </r>
  </si>
  <si>
    <t>91</t>
  </si>
  <si>
    <r>
      <t xml:space="preserve">Dtto, avšak dodávka </t>
    </r>
    <r>
      <rPr>
        <sz val="9"/>
        <rFont val="Arial CE"/>
        <family val="2"/>
      </rPr>
      <t>+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ztratné 10%</t>
    </r>
  </si>
  <si>
    <t>92</t>
  </si>
  <si>
    <r>
      <rPr>
        <b/>
        <sz val="9"/>
        <rFont val="Arial CE"/>
        <family val="2"/>
      </rPr>
      <t>Přesun hmot</t>
    </r>
    <r>
      <rPr>
        <sz val="9"/>
        <rFont val="Arial CE"/>
        <family val="2"/>
      </rPr>
      <t xml:space="preserve"> procentní pro obklady keramické </t>
    </r>
  </si>
  <si>
    <t>93</t>
  </si>
  <si>
    <t>94</t>
  </si>
  <si>
    <t>95</t>
  </si>
  <si>
    <t>MALBY</t>
  </si>
  <si>
    <t>96</t>
  </si>
  <si>
    <r>
      <rPr>
        <b/>
        <sz val="9"/>
        <rFont val="Arial CE"/>
        <family val="2"/>
      </rPr>
      <t xml:space="preserve">Oškrabání malby </t>
    </r>
    <r>
      <rPr>
        <sz val="9"/>
        <rFont val="Arial CE"/>
        <family val="2"/>
      </rPr>
      <t>v místnostech výšky do 3,88 m 
M j:m2 Hmotnost:0,00100 t; Suť:0,00031 t; Normohodiny:0,074 Nh; Cena:36,60 Kč
výměry : stěn a stropů : 
(5,86+5,90)*2*3,88+31,60m2</t>
    </r>
  </si>
  <si>
    <t>97</t>
  </si>
  <si>
    <r>
      <rPr>
        <b/>
        <sz val="9"/>
        <rFont val="Arial CE"/>
        <family val="2"/>
      </rPr>
      <t xml:space="preserve">Oprášení (ometení) </t>
    </r>
    <r>
      <rPr>
        <sz val="9"/>
        <rFont val="Arial CE"/>
        <family val="2"/>
      </rPr>
      <t>podkladu v místnostech výšky do 3,80 m Mj:m2; Hmotnost:0,00000 t; Normohodiny:0,012 Nh; 
Cena:5,93 Kč</t>
    </r>
  </si>
  <si>
    <t>98</t>
  </si>
  <si>
    <r>
      <rPr>
        <b/>
        <sz val="9"/>
        <rFont val="Arial CE"/>
        <family val="2"/>
      </rPr>
      <t>Rozmývání podkladu po oškrabání</t>
    </r>
    <r>
      <rPr>
        <sz val="9"/>
        <rFont val="Arial CE"/>
        <family val="2"/>
      </rPr>
      <t xml:space="preserve"> malby v místnostech výšky do 3,80 m ; Mj: m2; Hmotnost: 0,000t; Hmotnost: 0,037Nh ; Cena: 18,40Kč</t>
    </r>
  </si>
  <si>
    <t>99</t>
  </si>
  <si>
    <t xml:space="preserve">
Úprava prostor (OP JAK – Ph.D. Infra) – stavební práce
</t>
  </si>
  <si>
    <t>výměry : stavební suť 0,55t + koberce 0,010t + malby 0,03t</t>
  </si>
  <si>
    <r>
      <t xml:space="preserve">Vysoká škola ekonomická
 </t>
    </r>
    <r>
      <rPr>
        <sz val="10"/>
        <color indexed="8"/>
        <rFont val="Arial"/>
        <family val="2"/>
      </rPr>
      <t>nám. W CHURCHILLA, PRAHA 3, 130 67</t>
    </r>
  </si>
  <si>
    <r>
      <t xml:space="preserve">hmotnost </t>
    </r>
    <r>
      <rPr>
        <b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celkem</t>
    </r>
  </si>
  <si>
    <r>
      <rPr>
        <b/>
        <sz val="10"/>
        <rFont val="Arial"/>
        <family val="2"/>
      </rPr>
      <t>Vypnutí elektrického proudu</t>
    </r>
    <r>
      <rPr>
        <sz val="10"/>
        <rFont val="Arial"/>
        <family val="2"/>
      </rPr>
      <t xml:space="preserve"> v místech dotčených stavebními pracemi a zpětné zapnut</t>
    </r>
    <r>
      <rPr>
        <b/>
        <sz val="10"/>
        <rFont val="Arial"/>
        <family val="2"/>
      </rPr>
      <t>í po provedení stavebních úprav</t>
    </r>
  </si>
  <si>
    <r>
      <rPr>
        <b/>
        <sz val="10"/>
        <rFont val="Arial"/>
        <family val="2"/>
      </rPr>
      <t xml:space="preserve">Přemístění </t>
    </r>
    <r>
      <rPr>
        <sz val="10"/>
        <rFont val="Arial"/>
        <family val="2"/>
      </rPr>
      <t xml:space="preserve">pro dočasné uskladnění a zpětné nastěhování dotčených předmětů do cca 50m tam a zpět </t>
    </r>
  </si>
  <si>
    <r>
      <rPr>
        <b/>
        <sz val="10"/>
        <rFont val="Arial"/>
        <family val="2"/>
      </rPr>
      <t>Vysekání rýh</t>
    </r>
    <r>
      <rPr>
        <sz val="10"/>
        <rFont val="Arial"/>
        <family val="2"/>
      </rPr>
      <t xml:space="preserve"> ve zdivu cihelném hl do 70 mm š do 100 mm (pro potrubí ZTI )</t>
    </r>
  </si>
  <si>
    <r>
      <rPr>
        <b/>
        <sz val="10"/>
        <rFont val="Arial"/>
        <family val="2"/>
      </rPr>
      <t>Vysekání rýh</t>
    </r>
    <r>
      <rPr>
        <sz val="10"/>
        <rFont val="Arial"/>
        <family val="2"/>
      </rPr>
      <t xml:space="preserve"> ve zdivu cihelném hl do 30 mm š do 70 mm (pro rozvody El)</t>
    </r>
  </si>
  <si>
    <r>
      <rPr>
        <b/>
        <sz val="10"/>
        <rFont val="Arial"/>
        <family val="2"/>
      </rPr>
      <t>Vysekání kapes</t>
    </r>
    <r>
      <rPr>
        <sz val="10"/>
        <rFont val="Arial"/>
        <family val="2"/>
      </rPr>
      <t xml:space="preserve"> ve zdivu cihelném na MV nebo MVC pl do 0,10 m2 hl do 150 mm (pro zásuvky EL-silno i slabo)</t>
    </r>
  </si>
  <si>
    <r>
      <rPr>
        <b/>
        <sz val="10"/>
        <rFont val="Arial"/>
        <family val="2"/>
      </rPr>
      <t xml:space="preserve">Demontáž obkladů </t>
    </r>
    <r>
      <rPr>
        <sz val="10"/>
        <rFont val="Arial"/>
        <family val="2"/>
      </rPr>
      <t>z obkladaček keramických kladených do malty</t>
    </r>
  </si>
  <si>
    <r>
      <rPr>
        <b/>
        <sz val="10"/>
        <rFont val="Arial CE"/>
        <family val="2"/>
      </rPr>
      <t xml:space="preserve">Vnitrostaveništní doprava </t>
    </r>
    <r>
      <rPr>
        <sz val="10"/>
        <rFont val="Arial CE"/>
        <family val="2"/>
      </rPr>
      <t>suti a vybouraných hmot pro budovy v do 6 m s omezením mechanizace</t>
    </r>
  </si>
  <si>
    <r>
      <rPr>
        <b/>
        <sz val="10"/>
        <rFont val="Arial CE"/>
        <family val="2"/>
      </rPr>
      <t>Odvoz suti</t>
    </r>
    <r>
      <rPr>
        <sz val="10"/>
        <rFont val="Arial CE"/>
        <family val="2"/>
      </rPr>
      <t xml:space="preserve"> a vybouraných hmot na skládku nebo meziskládku </t>
    </r>
    <r>
      <rPr>
        <b/>
        <sz val="10"/>
        <rFont val="Arial CE"/>
        <family val="2"/>
      </rPr>
      <t>do 1 km se složením</t>
    </r>
  </si>
  <si>
    <r>
      <rPr>
        <b/>
        <sz val="10"/>
        <rFont val="Arial CE"/>
        <family val="2"/>
      </rPr>
      <t>Příplatek</t>
    </r>
    <r>
      <rPr>
        <sz val="10"/>
        <rFont val="Arial CE"/>
        <family val="2"/>
      </rPr>
      <t xml:space="preserve"> k odvozu suti a vybouraných hmot na skládku </t>
    </r>
    <r>
      <rPr>
        <b/>
        <sz val="10"/>
        <rFont val="Arial CE"/>
        <family val="2"/>
      </rPr>
      <t xml:space="preserve">ZKD 1 km přes 1 km 
(cena : </t>
    </r>
    <r>
      <rPr>
        <sz val="10"/>
        <rFont val="Arial CE"/>
        <family val="2"/>
      </rPr>
      <t>20km *13,70Kč/km)</t>
    </r>
  </si>
  <si>
    <r>
      <rPr>
        <b/>
        <sz val="10"/>
        <rFont val="Arial CE"/>
        <family val="2"/>
      </rPr>
      <t>Poplatek </t>
    </r>
    <r>
      <rPr>
        <sz val="10"/>
        <rFont val="Arial CE"/>
        <family val="2"/>
      </rPr>
      <t>za uložení na skládce stavebního odpadu ze směsí nebo oddělených frakcí betonu, cihel a keramických výrobků kód odpadu 17 01 07</t>
    </r>
  </si>
  <si>
    <r>
      <rPr>
        <b/>
        <sz val="10"/>
        <rFont val="Arial CE"/>
        <family val="2"/>
      </rPr>
      <t>Poplatek</t>
    </r>
    <r>
      <rPr>
        <sz val="10"/>
        <rFont val="Arial CE"/>
        <family val="2"/>
      </rPr>
      <t> za uložení na skládce stavebního odpadu z plastických hmot (koberec) kód odpadu 17 02 03 
(t=viz podlahy povlakové)</t>
    </r>
  </si>
  <si>
    <r>
      <rPr>
        <b/>
        <sz val="10"/>
        <rFont val="Arial CE"/>
        <family val="2"/>
      </rPr>
      <t>Hrubá výplň</t>
    </r>
    <r>
      <rPr>
        <sz val="10"/>
        <rFont val="Arial CE"/>
        <family val="2"/>
      </rPr>
      <t xml:space="preserve"> rýh ve stropech maltou jakékoli šířky rýhy
výměry : 0,100*15+0,070*60</t>
    </r>
  </si>
  <si>
    <r>
      <rPr>
        <b/>
        <sz val="10"/>
        <rFont val="Arial CE"/>
        <family val="2"/>
      </rPr>
      <t>Vápenocementová štuková</t>
    </r>
    <r>
      <rPr>
        <sz val="10"/>
        <rFont val="Arial CE"/>
        <family val="2"/>
      </rPr>
      <t xml:space="preserve"> omítka rýh ve stěnách š do 150 mm. výměry: 0,15*(15,0+60,0)</t>
    </r>
  </si>
  <si>
    <r>
      <t xml:space="preserve">Přesun hmot </t>
    </r>
    <r>
      <rPr>
        <sz val="10"/>
        <rFont val="Arial CE"/>
        <family val="2"/>
      </rPr>
      <t>pro budovy zděné </t>
    </r>
  </si>
  <si>
    <r>
      <rPr>
        <b/>
        <sz val="10"/>
        <rFont val="Arial CE"/>
        <family val="2"/>
      </rPr>
      <t xml:space="preserve">Příprava podkladu broušení </t>
    </r>
    <r>
      <rPr>
        <sz val="10"/>
        <rFont val="Arial CE"/>
        <family val="2"/>
      </rPr>
      <t>podlah stávajícího podkladu před litím stěrky Mj:m2; Normohodiny:0,035 Nh; Cena:32,00 Kč</t>
    </r>
  </si>
  <si>
    <r>
      <rPr>
        <b/>
        <sz val="10"/>
        <rFont val="Arial CE"/>
        <family val="2"/>
      </rPr>
      <t xml:space="preserve">Příprava podkladu penetrace </t>
    </r>
    <r>
      <rPr>
        <sz val="10"/>
        <rFont val="Arial CE"/>
        <family val="2"/>
      </rPr>
      <t>dvousložková podlah zábrana proti vlhkosti Mj:m2; Hmotnost:0,00315 t;Normohodiny:0,277 Nh; Cena:409,00 Kč</t>
    </r>
  </si>
  <si>
    <r>
      <rPr>
        <b/>
        <sz val="10"/>
        <rFont val="Arial CE"/>
        <family val="2"/>
      </rPr>
      <t xml:space="preserve">Příprava podkladu vyrovnání samonivelační stěrkou </t>
    </r>
    <r>
      <rPr>
        <sz val="10"/>
        <rFont val="Arial CE"/>
        <family val="2"/>
      </rPr>
      <t>podlah min.pevnosti 20 MPa, tloušťky přes 3 do 5 mm ; Mj:m2; Hmotnost:0,00758 t;Normohodiny:0,245 Nh; 
Cena:342,00 Kč</t>
    </r>
  </si>
  <si>
    <r>
      <rPr>
        <b/>
        <sz val="10"/>
        <rFont val="Arial CE"/>
        <family val="2"/>
      </rPr>
      <t>Montáž textilních podlahovin</t>
    </r>
    <r>
      <rPr>
        <sz val="10"/>
        <rFont val="Arial CE"/>
        <family val="2"/>
      </rPr>
      <t xml:space="preserve"> lepením čtverců elektrostaticky vodivých Mj:m2; Hmotnost:0,00040 t;Normohodiny:0,350 Nh; 
Cena:338,00 Kč</t>
    </r>
  </si>
  <si>
    <r>
      <rPr>
        <b/>
        <sz val="10"/>
        <rFont val="Arial CE"/>
        <family val="2"/>
      </rPr>
      <t xml:space="preserve">Dodávka </t>
    </r>
    <r>
      <rPr>
        <sz val="10"/>
        <rFont val="Arial CE"/>
        <family val="2"/>
      </rPr>
      <t>obvodových a přechodových lišt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; ztratné 9%</t>
    </r>
  </si>
  <si>
    <r>
      <rPr>
        <b/>
        <sz val="10"/>
        <rFont val="Arial CE"/>
        <family val="2"/>
      </rPr>
      <t>Přesun hmot</t>
    </r>
    <r>
      <rPr>
        <sz val="10"/>
        <rFont val="Arial CE"/>
        <family val="2"/>
      </rPr>
      <t xml:space="preserve"> procentní pro podlahy povlakové </t>
    </r>
  </si>
  <si>
    <r>
      <rPr>
        <b/>
        <sz val="10"/>
        <rFont val="Arial CE"/>
        <family val="2"/>
      </rPr>
      <t xml:space="preserve">Ometení </t>
    </r>
    <r>
      <rPr>
        <sz val="10"/>
        <rFont val="Arial CE"/>
        <family val="2"/>
      </rPr>
      <t>(oprášení) stěny při přípravě podkladu</t>
    </r>
  </si>
  <si>
    <r>
      <rPr>
        <b/>
        <sz val="10"/>
        <rFont val="Arial CE"/>
        <family val="2"/>
      </rPr>
      <t xml:space="preserve">Nátěr penetrační </t>
    </r>
    <r>
      <rPr>
        <sz val="10"/>
        <rFont val="Arial CE"/>
        <family val="2"/>
      </rPr>
      <t>na stěnu</t>
    </r>
  </si>
  <si>
    <r>
      <rPr>
        <b/>
        <sz val="10"/>
        <rFont val="Arial CE"/>
        <family val="2"/>
      </rPr>
      <t>Montáž obkladů</t>
    </r>
    <r>
      <rPr>
        <sz val="10"/>
        <rFont val="Arial CE"/>
        <family val="2"/>
      </rPr>
      <t xml:space="preserve"> vnitřních keramických velkoformátových z dekorů přes 4 do 6 ks/m2 
lepených flexibilním lepidlem</t>
    </r>
  </si>
  <si>
    <r>
      <t xml:space="preserve">Dtto, avšak dodávka </t>
    </r>
    <r>
      <rPr>
        <sz val="10"/>
        <rFont val="Arial CE"/>
        <family val="2"/>
      </rPr>
      <t>+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ztratné 10%</t>
    </r>
  </si>
  <si>
    <r>
      <rPr>
        <b/>
        <sz val="10"/>
        <rFont val="Arial CE"/>
        <family val="2"/>
      </rPr>
      <t>Přesun hmot</t>
    </r>
    <r>
      <rPr>
        <sz val="10"/>
        <rFont val="Arial CE"/>
        <family val="2"/>
      </rPr>
      <t xml:space="preserve"> procentní pro obklady keramické </t>
    </r>
  </si>
  <si>
    <r>
      <rPr>
        <b/>
        <sz val="10"/>
        <rFont val="Arial CE"/>
        <family val="2"/>
      </rPr>
      <t xml:space="preserve">Oprášení (ometení) </t>
    </r>
    <r>
      <rPr>
        <sz val="10"/>
        <rFont val="Arial CE"/>
        <family val="2"/>
      </rPr>
      <t>podkladu v místnostech výšky do 3,80 m Mj:m2; Hmotnost:0,00000 t; Normohodiny:0,012 Nh; 
Cena:5,93 Kč</t>
    </r>
  </si>
  <si>
    <r>
      <rPr>
        <b/>
        <sz val="10"/>
        <rFont val="Arial CE"/>
        <family val="2"/>
      </rPr>
      <t>Rozmývání podkladu po oškrabání</t>
    </r>
    <r>
      <rPr>
        <sz val="10"/>
        <rFont val="Arial CE"/>
        <family val="2"/>
      </rPr>
      <t xml:space="preserve"> malby v místnostech výšky do 3,80 m ; Mj: m2; Hmotnost: 0,000t; Hmotnost: 0,037Nh ; Cena: 18,40Kč</t>
    </r>
  </si>
  <si>
    <r>
      <t xml:space="preserve">Vysoká škola ekonomická
 </t>
    </r>
    <r>
      <rPr>
        <sz val="11"/>
        <color indexed="8"/>
        <rFont val="Arial"/>
        <family val="2"/>
      </rPr>
      <t>nám. W CHURCHILLA, PRAHA 3, 130 67</t>
    </r>
  </si>
  <si>
    <r>
      <rPr>
        <b/>
        <sz val="11"/>
        <rFont val="Arial"/>
        <family val="2"/>
      </rPr>
      <t>Vypnutí elektrického proudu</t>
    </r>
    <r>
      <rPr>
        <sz val="11"/>
        <rFont val="Arial"/>
        <family val="2"/>
      </rPr>
      <t xml:space="preserve"> v místech dotčených stavebními pracemi a zpětné zapnut</t>
    </r>
    <r>
      <rPr>
        <b/>
        <sz val="11"/>
        <rFont val="Arial"/>
        <family val="2"/>
      </rPr>
      <t>í po provedení stavebních úprav</t>
    </r>
  </si>
  <si>
    <r>
      <rPr>
        <b/>
        <sz val="11"/>
        <rFont val="Arial"/>
        <family val="2"/>
      </rPr>
      <t xml:space="preserve">Přemístění </t>
    </r>
    <r>
      <rPr>
        <sz val="11"/>
        <rFont val="Arial"/>
        <family val="2"/>
      </rPr>
      <t xml:space="preserve">pro dočasné uskladnění a zpětné nastěhování dotčených předmětů do cca 50m tam a zpět </t>
    </r>
  </si>
  <si>
    <r>
      <rPr>
        <b/>
        <sz val="11"/>
        <rFont val="Arial"/>
        <family val="2"/>
      </rPr>
      <t>Vysekání rýh</t>
    </r>
    <r>
      <rPr>
        <sz val="11"/>
        <rFont val="Arial"/>
        <family val="2"/>
      </rPr>
      <t xml:space="preserve"> ve zdivu cihelném hl do 70 mm š do 100 mm (pro potrubí ZTI )</t>
    </r>
  </si>
  <si>
    <r>
      <rPr>
        <b/>
        <sz val="11"/>
        <rFont val="Arial"/>
        <family val="2"/>
      </rPr>
      <t>Vysekání rýh</t>
    </r>
    <r>
      <rPr>
        <sz val="11"/>
        <rFont val="Arial"/>
        <family val="2"/>
      </rPr>
      <t xml:space="preserve"> ve zdivu cihelném hl do 30 mm š do 70 mm (pro rozvody El)</t>
    </r>
  </si>
  <si>
    <r>
      <rPr>
        <b/>
        <sz val="11"/>
        <rFont val="Arial"/>
        <family val="2"/>
      </rPr>
      <t>Vysekání kapes</t>
    </r>
    <r>
      <rPr>
        <sz val="11"/>
        <rFont val="Arial"/>
        <family val="2"/>
      </rPr>
      <t xml:space="preserve"> ve zdivu cihelném na MV nebo MVC pl do 0,10 m2 hl do 150 mm (pro zásuvky EL-silno i slabo)</t>
    </r>
  </si>
  <si>
    <r>
      <rPr>
        <b/>
        <sz val="11"/>
        <rFont val="Arial"/>
        <family val="2"/>
      </rPr>
      <t xml:space="preserve">Demontáž obkladů </t>
    </r>
    <r>
      <rPr>
        <sz val="11"/>
        <rFont val="Arial"/>
        <family val="2"/>
      </rPr>
      <t>z obkladaček keramických kladených do malty</t>
    </r>
  </si>
  <si>
    <r>
      <rPr>
        <b/>
        <sz val="11"/>
        <rFont val="Arial CE"/>
        <family val="2"/>
      </rPr>
      <t>Odvoz suti</t>
    </r>
    <r>
      <rPr>
        <sz val="11"/>
        <rFont val="Arial CE"/>
        <family val="2"/>
      </rPr>
      <t xml:space="preserve"> a vybouraných hmot na skládku nebo meziskládku </t>
    </r>
    <r>
      <rPr>
        <b/>
        <sz val="11"/>
        <rFont val="Arial CE"/>
        <family val="2"/>
      </rPr>
      <t>do 1 km se složením</t>
    </r>
  </si>
  <si>
    <r>
      <rPr>
        <b/>
        <sz val="11"/>
        <rFont val="Arial CE"/>
        <family val="2"/>
      </rPr>
      <t>Příplatek</t>
    </r>
    <r>
      <rPr>
        <sz val="11"/>
        <rFont val="Arial CE"/>
        <family val="2"/>
      </rPr>
      <t xml:space="preserve"> k odvozu suti a vybouraných hmot na skládku </t>
    </r>
    <r>
      <rPr>
        <b/>
        <sz val="11"/>
        <rFont val="Arial CE"/>
        <family val="2"/>
      </rPr>
      <t xml:space="preserve">ZKD 1 km přes 1 km 
(cena : </t>
    </r>
    <r>
      <rPr>
        <sz val="11"/>
        <rFont val="Arial CE"/>
        <family val="2"/>
      </rPr>
      <t>20km *13,70Kč/km)</t>
    </r>
  </si>
  <si>
    <r>
      <rPr>
        <b/>
        <sz val="11"/>
        <rFont val="Arial CE"/>
        <family val="2"/>
      </rPr>
      <t>Poplatek </t>
    </r>
    <r>
      <rPr>
        <sz val="11"/>
        <rFont val="Arial CE"/>
        <family val="2"/>
      </rPr>
      <t>za uložení na skládce stavebního odpadu ze směsí nebo oddělených frakcí betonu, cihel a keramických výrobků kód odpadu 17 01 07</t>
    </r>
  </si>
  <si>
    <r>
      <t xml:space="preserve">Přesun hmot </t>
    </r>
    <r>
      <rPr>
        <sz val="11"/>
        <rFont val="Arial CE"/>
        <family val="2"/>
      </rPr>
      <t>pro budovy zděné </t>
    </r>
  </si>
  <si>
    <r>
      <rPr>
        <b/>
        <sz val="11"/>
        <rFont val="Arial CE"/>
        <family val="2"/>
      </rPr>
      <t xml:space="preserve">Příprava podkladu broušení </t>
    </r>
    <r>
      <rPr>
        <sz val="11"/>
        <rFont val="Arial CE"/>
        <family val="2"/>
      </rPr>
      <t>podlah stávajícího podkladu před litím stěrky Mj:m2; Normohodiny:0,035 Nh; Cena:32,00 Kč</t>
    </r>
  </si>
  <si>
    <r>
      <rPr>
        <b/>
        <sz val="11"/>
        <rFont val="Arial CE"/>
        <family val="2"/>
      </rPr>
      <t xml:space="preserve">Příprava podkladu penetrace </t>
    </r>
    <r>
      <rPr>
        <sz val="11"/>
        <rFont val="Arial CE"/>
        <family val="2"/>
      </rPr>
      <t>dvousložková podlah zábrana proti vlhkosti Mj:m2; Hmotnost:0,00315 t;Normohodiny:0,277 Nh; Cena:409,00 Kč</t>
    </r>
  </si>
  <si>
    <r>
      <rPr>
        <b/>
        <sz val="11"/>
        <rFont val="Arial CE"/>
        <family val="2"/>
      </rPr>
      <t xml:space="preserve">Příprava podkladu vyrovnání samonivelační stěrkou </t>
    </r>
    <r>
      <rPr>
        <sz val="11"/>
        <rFont val="Arial CE"/>
        <family val="2"/>
      </rPr>
      <t>podlah min.pevnosti 20 MPa, tloušťky přes 3 do 5 mm ; Mj:m2; Hmotnost:0,00758 t;Normohodiny:0,245 Nh; 
Cena:342,00 Kč</t>
    </r>
  </si>
  <si>
    <r>
      <rPr>
        <b/>
        <sz val="11"/>
        <rFont val="Arial CE"/>
        <family val="2"/>
      </rPr>
      <t>Montáž textilních podlahovin</t>
    </r>
    <r>
      <rPr>
        <sz val="11"/>
        <rFont val="Arial CE"/>
        <family val="2"/>
      </rPr>
      <t xml:space="preserve"> lepením čtverců elektrostaticky vodivých Mj:m2; Hmotnost:0,00040 t;Normohodiny:0,350 Nh; 
Cena:338,00 Kč</t>
    </r>
  </si>
  <si>
    <r>
      <rPr>
        <b/>
        <sz val="11"/>
        <rFont val="Arial CE"/>
        <family val="2"/>
      </rPr>
      <t>Přesun hmot</t>
    </r>
    <r>
      <rPr>
        <sz val="11"/>
        <rFont val="Arial CE"/>
        <family val="2"/>
      </rPr>
      <t xml:space="preserve"> procentní pro podlahy povlakové </t>
    </r>
  </si>
  <si>
    <r>
      <rPr>
        <b/>
        <sz val="11"/>
        <rFont val="Arial CE"/>
        <family val="2"/>
      </rPr>
      <t xml:space="preserve">Ometení </t>
    </r>
    <r>
      <rPr>
        <sz val="11"/>
        <rFont val="Arial CE"/>
        <family val="2"/>
      </rPr>
      <t>(oprášení) stěny při přípravě podkladu</t>
    </r>
  </si>
  <si>
    <r>
      <rPr>
        <b/>
        <sz val="11"/>
        <rFont val="Arial CE"/>
        <family val="2"/>
      </rPr>
      <t xml:space="preserve">Nátěr penetrační </t>
    </r>
    <r>
      <rPr>
        <sz val="11"/>
        <rFont val="Arial CE"/>
        <family val="2"/>
      </rPr>
      <t>na stěnu</t>
    </r>
  </si>
  <si>
    <r>
      <rPr>
        <b/>
        <sz val="11"/>
        <rFont val="Arial CE"/>
        <family val="2"/>
      </rPr>
      <t>Montáž obkladů</t>
    </r>
    <r>
      <rPr>
        <sz val="11"/>
        <rFont val="Arial CE"/>
        <family val="2"/>
      </rPr>
      <t xml:space="preserve"> vnitřních keramických velkoformátových z dekorů přes 4 do 6 ks/m2 
lepených flexibilním lepidlem</t>
    </r>
  </si>
  <si>
    <r>
      <t xml:space="preserve">Dtto, avšak dodávka </t>
    </r>
    <r>
      <rPr>
        <sz val="11"/>
        <rFont val="Arial CE"/>
        <family val="2"/>
      </rPr>
      <t>+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ztratné 10%</t>
    </r>
  </si>
  <si>
    <r>
      <rPr>
        <b/>
        <sz val="11"/>
        <rFont val="Arial CE"/>
        <family val="2"/>
      </rPr>
      <t>Přesun hmot</t>
    </r>
    <r>
      <rPr>
        <sz val="11"/>
        <rFont val="Arial CE"/>
        <family val="2"/>
      </rPr>
      <t xml:space="preserve"> procentní pro obklady keramické </t>
    </r>
  </si>
  <si>
    <r>
      <rPr>
        <b/>
        <sz val="11"/>
        <rFont val="Arial CE"/>
        <family val="2"/>
      </rPr>
      <t xml:space="preserve">Oprášení (ometení) </t>
    </r>
    <r>
      <rPr>
        <sz val="11"/>
        <rFont val="Arial CE"/>
        <family val="2"/>
      </rPr>
      <t>podkladu v místnostech výšky do 3,80 m Mj:m2; Hmotnost:0,00000 t; Normohodiny:0,012 Nh; 
Cena:5,93 Kč</t>
    </r>
  </si>
  <si>
    <r>
      <rPr>
        <b/>
        <sz val="11"/>
        <rFont val="Arial CE"/>
        <family val="2"/>
      </rPr>
      <t>Rozmývání podkladu po oškrabání</t>
    </r>
    <r>
      <rPr>
        <sz val="11"/>
        <rFont val="Arial CE"/>
        <family val="2"/>
      </rPr>
      <t xml:space="preserve"> malby v místnostech výšky do 3,80 m ; Mj: m2; Hmotnost: 0,000t; Hmotnost: 0,037Nh ; Cena: 18,40Kč</t>
    </r>
  </si>
  <si>
    <r>
      <t xml:space="preserve">Vysoká škola ekonomická
 </t>
    </r>
    <r>
      <rPr>
        <sz val="12"/>
        <color indexed="8"/>
        <rFont val="Arial"/>
        <family val="2"/>
      </rPr>
      <t>nám. W CHURCHILLA, PRAHA 3, 130 67</t>
    </r>
  </si>
  <si>
    <r>
      <t xml:space="preserve">hmotnost </t>
    </r>
    <r>
      <rPr>
        <b/>
        <sz val="9"/>
        <color indexed="8"/>
        <rFont val="Arial"/>
        <family val="2"/>
      </rPr>
      <t xml:space="preserve">t </t>
    </r>
    <r>
      <rPr>
        <sz val="9"/>
        <color indexed="8"/>
        <rFont val="Arial"/>
        <family val="2"/>
      </rPr>
      <t>celkem</t>
    </r>
  </si>
  <si>
    <r>
      <rPr>
        <b/>
        <sz val="9"/>
        <rFont val="Arial"/>
        <family val="2"/>
      </rPr>
      <t>Vysekání kapes</t>
    </r>
    <r>
      <rPr>
        <sz val="9"/>
        <rFont val="Arial"/>
        <family val="2"/>
      </rPr>
      <t xml:space="preserve"> ve zdivu cihelném na MV nebo MVC pl do 0,10 m2 hl do 150 mm (pro zásuvky EL-silno i slabo)</t>
    </r>
  </si>
  <si>
    <r>
      <rPr>
        <b/>
        <sz val="9"/>
        <rFont val="Arial CE"/>
        <family val="2"/>
      </rPr>
      <t>Demontáž povlakových podlahovin</t>
    </r>
    <r>
      <rPr>
        <sz val="9"/>
        <rFont val="Arial CE"/>
        <family val="2"/>
      </rPr>
      <t xml:space="preserve"> lepených ručně 
 s podložkou  Mj:m2 ;
hmotnost:0,00000 t; Suť:0,00300 t; Normohodiny:0,255 Nh
Cena:156,00 Kč 
</t>
    </r>
    <r>
      <rPr>
        <b/>
        <sz val="9"/>
        <rFont val="Arial CE"/>
        <family val="2"/>
      </rPr>
      <t>výměry : 5,86*5,90-0,40*0,50*2-(0,15+0,50)*4</t>
    </r>
  </si>
  <si>
    <r>
      <rPr>
        <b/>
        <sz val="9"/>
        <rFont val="Arial CE"/>
        <family val="2"/>
      </rPr>
      <t>Demontáž soklíků</t>
    </r>
    <r>
      <rPr>
        <sz val="9"/>
        <rFont val="Arial CE"/>
        <family val="2"/>
      </rPr>
      <t xml:space="preserve"> nebo lišt pryžových nebo plastových Mj:m Hmotnost:0,00000 t; Suť:0,00030 t; Normohodiny:0,035 Nh; Cena:15,70 Kč
</t>
    </r>
    <r>
      <rPr>
        <b/>
        <sz val="9"/>
        <rFont val="Arial CE"/>
        <family val="2"/>
      </rPr>
      <t>výměry : (5,86+5,90)*2+(0,50*2+0,40)*2+0,50</t>
    </r>
  </si>
  <si>
    <r>
      <rPr>
        <b/>
        <sz val="9"/>
        <rFont val="Arial CE"/>
        <family val="2"/>
      </rPr>
      <t>Odstranění lepidla</t>
    </r>
    <r>
      <rPr>
        <sz val="9"/>
        <rFont val="Arial CE"/>
        <family val="2"/>
      </rPr>
      <t xml:space="preserve"> ručně z podlah Mj:m2 Hmotnost:0,00000 t; Normohodiny:0,420 Nh; Cena:188,00 Kč
výměry : 31,60m2</t>
    </r>
  </si>
  <si>
    <r>
      <rPr>
        <b/>
        <sz val="9"/>
        <rFont val="Arial CE"/>
        <family val="2"/>
      </rPr>
      <t xml:space="preserve">Příprava podkladu broušení </t>
    </r>
    <r>
      <rPr>
        <sz val="9"/>
        <rFont val="Arial CE"/>
        <family val="2"/>
      </rPr>
      <t>podlah stávajícího podkladu před litím stěrky Mj:m2; Normohodiny:0,035 Nh; Cena:32,00 Kč</t>
    </r>
  </si>
  <si>
    <r>
      <rPr>
        <b/>
        <sz val="9"/>
        <rFont val="Arial CE"/>
        <family val="2"/>
      </rPr>
      <t xml:space="preserve">Příprava podkladu penetrace </t>
    </r>
    <r>
      <rPr>
        <sz val="9"/>
        <rFont val="Arial CE"/>
        <family val="2"/>
      </rPr>
      <t>dvousložková podlah zábrana proti vlhkosti Mj:m2; Hmotnost:0,00315 t;Normohodiny:0,277 Nh; Cena:409,00 Kč</t>
    </r>
  </si>
  <si>
    <r>
      <rPr>
        <b/>
        <sz val="9"/>
        <rFont val="Arial CE"/>
        <family val="2"/>
      </rPr>
      <t xml:space="preserve">Příprava podkladu vyrovnání samonivelační stěrkou </t>
    </r>
    <r>
      <rPr>
        <sz val="9"/>
        <rFont val="Arial CE"/>
        <family val="2"/>
      </rPr>
      <t>podlah min.pevnosti 20 MPa, tloušťky přes 3 do 5 mm ; Mj:m2; Hmotnost:0,00758 t;Normohodiny:0,245 Nh; 
Cena:342,00 Kč</t>
    </r>
  </si>
  <si>
    <r>
      <rPr>
        <b/>
        <sz val="9"/>
        <rFont val="Arial CE"/>
        <family val="2"/>
      </rPr>
      <t>Montáž textilních podlahovin</t>
    </r>
    <r>
      <rPr>
        <sz val="9"/>
        <rFont val="Arial CE"/>
        <family val="2"/>
      </rPr>
      <t xml:space="preserve"> lepením čtverců elektrostaticky vodivých Mj:m2; Hmotnost:0,00040 t;Normohodiny:0,350 Nh; 
Cena:338,00 Kč</t>
    </r>
  </si>
  <si>
    <r>
      <rPr>
        <b/>
        <sz val="9"/>
        <rFont val="Arial CE"/>
        <family val="2"/>
      </rPr>
      <t xml:space="preserve">Dodávka textilních </t>
    </r>
    <r>
      <rPr>
        <sz val="9"/>
        <rFont val="Arial CE"/>
        <family val="2"/>
      </rPr>
      <t>podlahovin kladených do čtverců -  ; Výměra : 31,60m2*1,09 ztratné 9%</t>
    </r>
  </si>
  <si>
    <r>
      <rPr>
        <b/>
        <sz val="9"/>
        <rFont val="Arial CE"/>
        <family val="2"/>
      </rPr>
      <t xml:space="preserve">Montáž obvodových lišt </t>
    </r>
    <r>
      <rPr>
        <sz val="9"/>
        <rFont val="Arial CE"/>
        <family val="2"/>
      </rPr>
      <t>lepením 
výměry : (5,90+5,86)*2+0,50*2*4</t>
    </r>
  </si>
  <si>
    <r>
      <rPr>
        <b/>
        <sz val="9"/>
        <rFont val="Arial CE"/>
        <family val="2"/>
      </rPr>
      <t xml:space="preserve">Dodávka </t>
    </r>
    <r>
      <rPr>
        <sz val="9"/>
        <rFont val="Arial CE"/>
        <family val="2"/>
      </rPr>
      <t>obvodových a přechodových lišt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; ztratné 9%</t>
    </r>
  </si>
  <si>
    <r>
      <rPr>
        <b/>
        <sz val="9"/>
        <rFont val="Arial CE"/>
        <family val="2"/>
      </rPr>
      <t>Přesun hmot</t>
    </r>
    <r>
      <rPr>
        <sz val="9"/>
        <rFont val="Arial CE"/>
        <family val="2"/>
      </rPr>
      <t xml:space="preserve"> procentní pro podlahy povlakové </t>
    </r>
  </si>
  <si>
    <r>
      <rPr>
        <b/>
        <sz val="9"/>
        <rFont val="Arial CE"/>
        <family val="2"/>
      </rPr>
      <t xml:space="preserve">Přesun hmot </t>
    </r>
    <r>
      <rPr>
        <sz val="9"/>
        <rFont val="Arial CE"/>
        <family val="2"/>
      </rPr>
      <t>procentní pro kce SDK</t>
    </r>
  </si>
  <si>
    <r>
      <rPr>
        <b/>
        <sz val="9"/>
        <rFont val="Arial CE"/>
        <family val="2"/>
      </rPr>
      <t xml:space="preserve">Dvojnásobné bílé malby </t>
    </r>
    <r>
      <rPr>
        <sz val="9"/>
        <rFont val="Arial CE"/>
        <family val="2"/>
      </rPr>
      <t>ze směsí za sucha dobře otěruvzdorných v místnostech do 3,80 m
 Mj: m2; Hmotnost: 0,00029t; Hmotnost: 0,064Nh ; 
Cena: 44,50Kč
výměry : 122,858m2</t>
    </r>
  </si>
  <si>
    <t>ID PRVKU</t>
  </si>
  <si>
    <t>POPIS</t>
  </si>
  <si>
    <t>M.J.</t>
  </si>
  <si>
    <t>POČET M.J.</t>
  </si>
  <si>
    <t>J.C.</t>
  </si>
  <si>
    <t>CENA CELKEM</t>
  </si>
  <si>
    <t>MONTÁŽ         J.C.</t>
  </si>
  <si>
    <t>MONTÁŽ CELKEM</t>
  </si>
  <si>
    <t>Přístroje, koncové prvky, nástěnná montáž!</t>
  </si>
  <si>
    <t>741-00001</t>
  </si>
  <si>
    <t>Dvouzásuvka IP20 ABB Tango pod omítku, s pootočenou zásuvkou</t>
  </si>
  <si>
    <t>741-00002</t>
  </si>
  <si>
    <t>Krabice instalační, rozbočná pro zapuštěnou montáž</t>
  </si>
  <si>
    <t>741-00003</t>
  </si>
  <si>
    <t>Krabice instalační nástěnná</t>
  </si>
  <si>
    <t>741-00004</t>
  </si>
  <si>
    <t>Pomocný materiál (svorky, izolace, šrouby, vrtuty..)</t>
  </si>
  <si>
    <t>741-00005</t>
  </si>
  <si>
    <t>Nespecifikovatelné montážní práce</t>
  </si>
  <si>
    <t>741-00006</t>
  </si>
  <si>
    <t>Stavební přípomoci  (Průrazy, průvrty, drážky apod.)</t>
  </si>
  <si>
    <t>Přístroje, koncové prvky CELKEM</t>
  </si>
  <si>
    <t>Rozváděče</t>
  </si>
  <si>
    <t>741-00007</t>
  </si>
  <si>
    <t>Připojení nového vývodu do rozváděče</t>
  </si>
  <si>
    <t>741-00008</t>
  </si>
  <si>
    <t>741-00009</t>
  </si>
  <si>
    <t xml:space="preserve">Stavební přípomoci  </t>
  </si>
  <si>
    <t>Rozváděče CELKEM</t>
  </si>
  <si>
    <t>Kabely a trasy</t>
  </si>
  <si>
    <t>741-00010</t>
  </si>
  <si>
    <t>Kabel CYKY-j 3x2,5</t>
  </si>
  <si>
    <t>m</t>
  </si>
  <si>
    <t>741-00011</t>
  </si>
  <si>
    <t>Uložení kabelů do stávající trasy v podhledu, nebo pod obložením</t>
  </si>
  <si>
    <t>741-00012</t>
  </si>
  <si>
    <t>Drážkování a následné začíštění</t>
  </si>
  <si>
    <t>741-00013</t>
  </si>
  <si>
    <t>Elektroinstalační lišty 24x22</t>
  </si>
  <si>
    <t>741-00014</t>
  </si>
  <si>
    <t>Požární ucpávky do průměru prostupu 100 mm</t>
  </si>
  <si>
    <t>741-00015</t>
  </si>
  <si>
    <t>Podružný související elektroinstalační a kompletační mat. (svorky, izolace)</t>
  </si>
  <si>
    <t>741-00016</t>
  </si>
  <si>
    <t>Podíl přidružených výkonů</t>
  </si>
  <si>
    <t>741-00017</t>
  </si>
  <si>
    <t>Kabely a trasy CELKEM</t>
  </si>
  <si>
    <t>ELEKTROINSTALACE SILNOPROUD</t>
  </si>
  <si>
    <t>741-00018</t>
  </si>
  <si>
    <t>Revizní zpráva</t>
  </si>
  <si>
    <t xml:space="preserve"> ELEKTROINSTALACE SILNOPROUDU CELKEM BEZ DPH:</t>
  </si>
  <si>
    <r>
      <t xml:space="preserve">materiál </t>
    </r>
    <r>
      <rPr>
        <sz val="12"/>
        <rFont val="Calibri"/>
        <family val="2"/>
      </rPr>
      <t>∑</t>
    </r>
  </si>
  <si>
    <t>montáž ∑</t>
  </si>
  <si>
    <t>Rekapitulace - místnost 1.NP NB - slaboproudé instalace</t>
  </si>
  <si>
    <t>Celkem za kompletní dodávku a montáž bez DPH</t>
  </si>
  <si>
    <t>č. pol.</t>
  </si>
  <si>
    <t>obj.kód</t>
  </si>
  <si>
    <t>popis</t>
  </si>
  <si>
    <t>výměra</t>
  </si>
  <si>
    <t>cena/mj</t>
  </si>
  <si>
    <t xml:space="preserve"> celkem</t>
  </si>
  <si>
    <t>Místnost 1.NP NB</t>
  </si>
  <si>
    <t>Výbava rozvaděče, zásuvky</t>
  </si>
  <si>
    <t>19" patchpanel 24xRJ45 FTP Cat6A</t>
  </si>
  <si>
    <t>Montážní sada pro patchpanel</t>
  </si>
  <si>
    <t>Datová zásuvka 3xRJ45 vč. instalační krabice na povrch / pod omítku</t>
  </si>
  <si>
    <t>Kabeláž - datové zásuvky</t>
  </si>
  <si>
    <t>FTP kabel Cat6A, LSOH</t>
  </si>
  <si>
    <t xml:space="preserve">Kabelová příchytka </t>
  </si>
  <si>
    <t>Trubka ochranná LPE průměr 23mm</t>
  </si>
  <si>
    <t>Ostatní položky</t>
  </si>
  <si>
    <t>Drobný montážní a instalační materiál</t>
  </si>
  <si>
    <t>Stavební přípomoce, vrtání prostupů, vysekání kabelových drážek</t>
  </si>
  <si>
    <t>Práce v rozvaděči - dotažení a instalace nové kabeláže, vyvázání</t>
  </si>
  <si>
    <t>h</t>
  </si>
  <si>
    <t>Popis kabelu / portu</t>
  </si>
  <si>
    <t>Měření datového portu, měřící protokol</t>
  </si>
  <si>
    <t>Doprava osob a materiálu - přesun hmot</t>
  </si>
  <si>
    <t xml:space="preserve">a) Demontáže </t>
  </si>
  <si>
    <t>b) Rozvody kanalizace</t>
  </si>
  <si>
    <t>c) Ležaté rozvody</t>
  </si>
  <si>
    <t xml:space="preserve">d) Izolace tepelné </t>
  </si>
  <si>
    <t>e) Zařizovací předměty</t>
  </si>
  <si>
    <t>Mezisoučet - celkem</t>
  </si>
  <si>
    <t xml:space="preserve">Součet bez DPH </t>
  </si>
  <si>
    <t>JC</t>
  </si>
  <si>
    <t>CC</t>
  </si>
  <si>
    <t>Popis</t>
  </si>
  <si>
    <t>Rozměr / pozn</t>
  </si>
  <si>
    <t>MJ</t>
  </si>
  <si>
    <t>Počet</t>
  </si>
  <si>
    <t>Dodávka</t>
  </si>
  <si>
    <t>Montáž</t>
  </si>
  <si>
    <t>D+M</t>
  </si>
  <si>
    <t>DODÁVKA</t>
  </si>
  <si>
    <t>MONTÁŽ</t>
  </si>
  <si>
    <t>CELKEM D+M</t>
  </si>
  <si>
    <t>Demontáže potrubí vodovod</t>
  </si>
  <si>
    <t>do D 25</t>
  </si>
  <si>
    <t>Demontáže potrubí kanalizace</t>
  </si>
  <si>
    <t>do D 50</t>
  </si>
  <si>
    <t>do D 75</t>
  </si>
  <si>
    <t>do D 100</t>
  </si>
  <si>
    <t xml:space="preserve">Demontáž izolace, ekologická likvidace izolace </t>
  </si>
  <si>
    <t>Demontáž stávajících dosloužilých armatur, čerpadel, el. pohonů ekologické likvidace a odvoz železného šrotu</t>
  </si>
  <si>
    <t>Demontáže umyvadel</t>
  </si>
  <si>
    <t>Demontáže baterií</t>
  </si>
  <si>
    <t>Demontáž sifonu</t>
  </si>
  <si>
    <t>Demontáž mýdelníku</t>
  </si>
  <si>
    <t>Demontáž zrcadla</t>
  </si>
  <si>
    <t>Přesun hmot</t>
  </si>
  <si>
    <t>soub</t>
  </si>
  <si>
    <t>a) Demontáže - celkem</t>
  </si>
  <si>
    <t>c) Rozvody kanalizace</t>
  </si>
  <si>
    <t>Potrubí z trubek plastových PPs- HT systém ČSN 4205710</t>
  </si>
  <si>
    <t>DN 50</t>
  </si>
  <si>
    <t>DN 75</t>
  </si>
  <si>
    <t>DN 100</t>
  </si>
  <si>
    <t>Upevňovací systém</t>
  </si>
  <si>
    <t>Pomocný materiál (fitinky, těsnící materiál, tech. plyny)</t>
  </si>
  <si>
    <t>Pomocné konstrukce (např. plošina apod)</t>
  </si>
  <si>
    <t>kg</t>
  </si>
  <si>
    <t>Zkouška těsnosti</t>
  </si>
  <si>
    <t>Zednické přítomce</t>
  </si>
  <si>
    <t>b) Rozvody kanalizace - celkem</t>
  </si>
  <si>
    <t>c) Rozvody vody</t>
  </si>
  <si>
    <t>Potrubí z trubek PPr Pn 20</t>
  </si>
  <si>
    <t xml:space="preserve">DN 20 </t>
  </si>
  <si>
    <t xml:space="preserve">DN 25 </t>
  </si>
  <si>
    <t>DN 32</t>
  </si>
  <si>
    <t>Uzávírací závitový kulový kohout, min PN 35</t>
  </si>
  <si>
    <t>DN 15</t>
  </si>
  <si>
    <t>DN 20</t>
  </si>
  <si>
    <t>Upevnění potrubí plast. do DN 22-32</t>
  </si>
  <si>
    <t>Tlaková zkouška</t>
  </si>
  <si>
    <t>Pomocný materiál (závitové fitinky, těsnící materiál, tech. plyny)</t>
  </si>
  <si>
    <t>c) Ležaté rozvody - celkem</t>
  </si>
  <si>
    <t xml:space="preserve">d) Izolace tepelné - ZTI </t>
  </si>
  <si>
    <t xml:space="preserve">Potrubní izolační pouzdra návleková </t>
  </si>
  <si>
    <t>síla izolace 15 mm-pro potrubí</t>
  </si>
  <si>
    <t>do DN 20</t>
  </si>
  <si>
    <t>do DN 22-32</t>
  </si>
  <si>
    <t>d) Izolace tepelné - ZTI celkem</t>
  </si>
  <si>
    <t>Uzavírací ventily rohové</t>
  </si>
  <si>
    <t>Dodávka a montáž dřezu</t>
  </si>
  <si>
    <t>Baterie</t>
  </si>
  <si>
    <t>e) Zařizovací předměty - celkem</t>
  </si>
  <si>
    <t>Zařizovací předměty</t>
  </si>
  <si>
    <t>Stavební úpavy pro místnost č. 260</t>
  </si>
  <si>
    <t>725210821/P</t>
  </si>
  <si>
    <r>
      <rPr>
        <b/>
        <sz val="9"/>
        <rFont val="Arial"/>
        <family val="2"/>
      </rPr>
      <t>Vysekání kapes</t>
    </r>
    <r>
      <rPr>
        <sz val="9"/>
        <rFont val="Arial"/>
        <family val="2"/>
      </rPr>
      <t xml:space="preserve"> ve zdivu cihelném na MV nebo MVC pl do 0,10 m2 hl do 150 mm </t>
    </r>
    <r>
      <rPr>
        <sz val="8"/>
        <rFont val="Arial"/>
        <family val="2"/>
      </rPr>
      <t>(pro zásuvky EL-silno i slabo)</t>
    </r>
  </si>
  <si>
    <r>
      <t>V</t>
    </r>
    <r>
      <rPr>
        <b/>
        <sz val="9"/>
        <rFont val="Arial CE"/>
        <family val="2"/>
      </rPr>
      <t xml:space="preserve">ápenná štuková </t>
    </r>
    <r>
      <rPr>
        <sz val="9"/>
        <rFont val="Arial CE"/>
        <family val="2"/>
      </rPr>
      <t>omítka malých ploch přes 0,09 do 0,25 m2 na stěnách</t>
    </r>
  </si>
  <si>
    <t>Vyčištění budov nebo objektů před předáním do užívání budov bytové nebo občanské výstavby, světlé výšky podlaží do 4 m .
výměry :2,75*5,90-0,15*0,50*2</t>
  </si>
  <si>
    <t>ZAŘIZOVACÍ PŘEDMĚTY</t>
  </si>
  <si>
    <t>Výměry pro montáž (0,90+0,50*2)*1,20</t>
  </si>
  <si>
    <t xml:space="preserve">Úprava prostor (OP JAK – Ph.D. Infra) – stavební práce
</t>
  </si>
  <si>
    <t>Rekapitulace - místnost NB 153 - slaboproudé instalace</t>
  </si>
  <si>
    <t>Místnost NB 153</t>
  </si>
  <si>
    <t>Dodávka umyvadla</t>
  </si>
  <si>
    <t>Zrcadla</t>
  </si>
  <si>
    <t>Demontáže a bourání konstrukcí</t>
  </si>
  <si>
    <t>Stavební úpavy pro místnost č. 177a</t>
  </si>
  <si>
    <r>
      <rPr>
        <b/>
        <sz val="9"/>
        <rFont val="Arial"/>
        <family val="2"/>
      </rPr>
      <t>Vyklizení předmětů</t>
    </r>
    <r>
      <rPr>
        <sz val="9"/>
        <rFont val="Arial"/>
        <family val="2"/>
      </rPr>
      <t xml:space="preserve"> (stávající nábytek ) v dotčených místnostech stavebními úpravami, na předem určené místo objednatelem. 
výměry : 5,65*13,775-0,50*0,40*6-3,00*0,30</t>
    </r>
  </si>
  <si>
    <r>
      <rPr>
        <b/>
        <sz val="9"/>
        <rFont val="Arial"/>
        <family val="2"/>
      </rPr>
      <t>Ochrana stavebních konstrukcí</t>
    </r>
    <r>
      <rPr>
        <sz val="9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(5,65+13,775*2)*3,30+průhled (3,90+1,60*2)*2,20</t>
    </r>
  </si>
  <si>
    <t>619996117 
619996145</t>
  </si>
  <si>
    <r>
      <rPr>
        <b/>
        <sz val="9"/>
        <rFont val="Arial"/>
        <family val="2"/>
      </rPr>
      <t xml:space="preserve">Provizorní zakrytí </t>
    </r>
    <r>
      <rPr>
        <sz val="9"/>
        <rFont val="Arial"/>
        <family val="2"/>
      </rPr>
      <t>stávajících nášlapných ploch proti poškození stavbou (v místech dotčených stavebními úpravami ); OSB deskami,odolnou fólii proti poškození. Dodávka+položení+odklizení+likvidace. výměry : 5,65*13,775-0,50*0,40*6-3,00*0,30</t>
    </r>
  </si>
  <si>
    <r>
      <rPr>
        <b/>
        <sz val="9"/>
        <rFont val="Arial CE"/>
        <family val="2"/>
      </rPr>
      <t>Hrubá výplň</t>
    </r>
    <r>
      <rPr>
        <sz val="9"/>
        <rFont val="Arial CE"/>
        <family val="2"/>
      </rPr>
      <t xml:space="preserve"> rýh ve stropech maltou jakékoli šířky rýhy
výměry : 0,100*30,00</t>
    </r>
  </si>
  <si>
    <r>
      <rPr>
        <b/>
        <sz val="9"/>
        <rFont val="Arial CE"/>
        <family val="2"/>
      </rPr>
      <t>Vápenocementová štuková</t>
    </r>
    <r>
      <rPr>
        <sz val="9"/>
        <rFont val="Arial CE"/>
        <family val="2"/>
      </rPr>
      <t xml:space="preserve"> omítka rýh ve stěnách š do 150 mm. výměry: 0,15*30,00</t>
    </r>
  </si>
  <si>
    <r>
      <rPr>
        <b/>
        <sz val="9"/>
        <rFont val="Arial CE"/>
        <family val="2"/>
      </rPr>
      <t xml:space="preserve">Úpravy povrchů  </t>
    </r>
    <r>
      <rPr>
        <sz val="9"/>
        <rFont val="Arial CE"/>
        <family val="2"/>
      </rPr>
      <t>po montáži nových rozvodů elektro silno a slabo na chodbě + vybourání prostupů stěnami včetně likvidace, odvozu a skládkovného</t>
    </r>
  </si>
  <si>
    <t>Vyčištění budov nebo objektů před předáním do užívání budov bytové nebo občanské výstavby, světlé výšky podlaží do 4 m .
výměry :5,65*13,775-0,50*0,40*6-3,00*0,30</t>
  </si>
  <si>
    <r>
      <rPr>
        <b/>
        <sz val="9"/>
        <rFont val="Arial CE"/>
        <family val="2"/>
      </rPr>
      <t xml:space="preserve">Oškrabání malby </t>
    </r>
    <r>
      <rPr>
        <sz val="9"/>
        <rFont val="Arial CE"/>
        <family val="2"/>
      </rPr>
      <t>v místnostech výšky do 3,30 m 
M j:m2 Hmotnost:0,00100 t; Suť:0,00031 t; Normohodiny:0,074 Nh; Cena:36,60 Kč
výměry : strop+sloupy+stěna v průhledu : 
(5,65*13,775)+sloupy 0,40+0,50)*2*3,30+průhled 3,90*2,20</t>
    </r>
  </si>
  <si>
    <r>
      <rPr>
        <b/>
        <sz val="9"/>
        <rFont val="Arial CE"/>
        <family val="2"/>
      </rPr>
      <t xml:space="preserve">Dvojnásobné bílé malby </t>
    </r>
    <r>
      <rPr>
        <sz val="9"/>
        <rFont val="Arial CE"/>
        <family val="2"/>
      </rPr>
      <t>ze směsí za sucha dobře otěruvzdorných v místnostech do 3,80 m</t>
    </r>
    <r>
      <rPr>
        <sz val="8"/>
        <rFont val="Arial CE"/>
        <family val="2"/>
      </rPr>
      <t xml:space="preserve">
 Mj: m2; Hmotnost: 0,00029t; Hmotnost: 0,064Nh ; 
Cena: 44,50Kč
výměry : 92,349m2</t>
    </r>
  </si>
  <si>
    <t>741-0009</t>
  </si>
  <si>
    <t>Kabel CYKY-j 3x4</t>
  </si>
  <si>
    <t>Rekapitulace - místnost NB 177a - slaboproudé instalace</t>
  </si>
  <si>
    <t>Místnost NB 177a</t>
  </si>
  <si>
    <t>Stavební úpavy pro místnost č. 177b</t>
  </si>
  <si>
    <t>Rekapitulace - místnost NB 177b - slaboproudé instalace</t>
  </si>
  <si>
    <t>Místnost NB 177b</t>
  </si>
  <si>
    <t>9</t>
  </si>
  <si>
    <t>Stavební úpavy pro místnost č. 225 (3.NP)</t>
  </si>
  <si>
    <t>výměry : stavební suť 0,55t + koberce 0,010t + malby 0,04t</t>
  </si>
  <si>
    <t>Vyčištění budov nebo objektů před předáním do užívání budov bytové nebo občanské výstavby, světlé výšky podlaží do 4 m .
výměry :6,040*5,90-0,95*0,50-0,15*0,50*4-0,40*0,50</t>
  </si>
  <si>
    <t>Výměry  pro montáž ((0,90+0,50*2)+0,15*2)*0,60</t>
  </si>
  <si>
    <t>Rekapitulace - místnost NB 225 - slaboproudé instalace</t>
  </si>
  <si>
    <t>Místnost NB 225</t>
  </si>
  <si>
    <t>Úpravy povrchů vnitřních</t>
  </si>
  <si>
    <t>Podlahové konstrukce</t>
  </si>
  <si>
    <t>766691914/P</t>
  </si>
  <si>
    <t>763181811/P</t>
  </si>
  <si>
    <t>763112994/P</t>
  </si>
  <si>
    <t>kus</t>
  </si>
  <si>
    <t>Místnost NB 260</t>
  </si>
  <si>
    <t>Zastiňující rolety</t>
  </si>
  <si>
    <t>Stavební úpavy pro místnost č. 126</t>
  </si>
  <si>
    <t>ZASTIŇUJÍCÍ ROLETY</t>
  </si>
  <si>
    <t>Rekapitulace - místnost NB 260 - slaboproudé instalace</t>
  </si>
  <si>
    <t>Svítidla</t>
  </si>
  <si>
    <t>Svítidlo nouzové přisazené, LED 2W, kombinované (piktogram a úniková cesta), akumulátor na 1 hodina svícení</t>
  </si>
  <si>
    <t>Svítidlo nouzové přisazené, LED 2W, protipanikové, akumulátor na 1 hodina svícení</t>
  </si>
  <si>
    <t>Svítidlo LED 30W, 3000 K, UGR 19</t>
  </si>
  <si>
    <t>Pomocný materiál</t>
  </si>
  <si>
    <t>Svítidla CELKEM</t>
  </si>
  <si>
    <t>Vypínač žaluziový IP20 ABB Tango, pod omítku</t>
  </si>
  <si>
    <t>Vypínač lustrový IP20 ABB Tango, pod omítku</t>
  </si>
  <si>
    <t>Zásuvka IP20 ABB Tango vestavěná do parapetního kanálu</t>
  </si>
  <si>
    <t>Vývod 230V/10A pro svítidlo</t>
  </si>
  <si>
    <t>Krabice instalační + podložka, do kanálu</t>
  </si>
  <si>
    <t>Rekonstrukce patrového rozváděče</t>
  </si>
  <si>
    <t>741-00019</t>
  </si>
  <si>
    <t>Kabel CYKY-j 3x1,5</t>
  </si>
  <si>
    <t>741-00020</t>
  </si>
  <si>
    <t>Kabel CYKY-j 4x1,5</t>
  </si>
  <si>
    <t>741-00021</t>
  </si>
  <si>
    <t>vodič CYA 6</t>
  </si>
  <si>
    <t>741-00022</t>
  </si>
  <si>
    <t>Parapetní žlab 110x70</t>
  </si>
  <si>
    <t>741-00023</t>
  </si>
  <si>
    <t>741-00024</t>
  </si>
  <si>
    <t>741-00025</t>
  </si>
  <si>
    <t>741-00026</t>
  </si>
  <si>
    <t>741-00027</t>
  </si>
  <si>
    <t>741-00028</t>
  </si>
  <si>
    <t>Rekapitulace - místnost SB 126 - slaboproudé instalace</t>
  </si>
  <si>
    <t>Místnost SB 126</t>
  </si>
  <si>
    <t>Stavební úpavy pro místnost č. 153</t>
  </si>
  <si>
    <r>
      <rPr>
        <b/>
        <sz val="11"/>
        <rFont val="Arial"/>
        <family val="2"/>
      </rPr>
      <t>Vyklizení předmětů</t>
    </r>
    <r>
      <rPr>
        <sz val="11"/>
        <rFont val="Arial"/>
        <family val="2"/>
      </rPr>
      <t xml:space="preserve"> (stávající nábytek ) v dotčených místnostech stavebními úpravami, na předem určené místo objednatelem. 
výměry : 2,75*5,90-(0,15*0,50)*3</t>
    </r>
  </si>
  <si>
    <r>
      <rPr>
        <b/>
        <sz val="11"/>
        <rFont val="Arial"/>
        <family val="2"/>
      </rPr>
      <t>Ochrana stavebních konstrukcí</t>
    </r>
    <r>
      <rPr>
        <sz val="11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2,50*2,10*1+1,00*2,00*1</t>
    </r>
  </si>
  <si>
    <r>
      <rPr>
        <b/>
        <sz val="11"/>
        <rFont val="Arial CE"/>
        <family val="2"/>
      </rPr>
      <t xml:space="preserve">Demontáž umyvadla </t>
    </r>
    <r>
      <rPr>
        <sz val="11"/>
        <rFont val="Arial CE"/>
        <family val="2"/>
      </rPr>
      <t xml:space="preserve"> s baterii nástěnnou včetně likvidace</t>
    </r>
  </si>
  <si>
    <r>
      <rPr>
        <b/>
        <sz val="11"/>
        <rFont val="Arial CE"/>
        <family val="2"/>
      </rPr>
      <t xml:space="preserve">Vnitrostaveništní doprava </t>
    </r>
    <r>
      <rPr>
        <sz val="11"/>
        <rFont val="Arial CE"/>
        <family val="2"/>
      </rPr>
      <t>suti a vybouraných hmot pro budovy s omezením mechanizace</t>
    </r>
  </si>
  <si>
    <t>výměry : stavební suť 0,407t + PVC 0,010t + malby 0,02t</t>
  </si>
  <si>
    <r>
      <rPr>
        <b/>
        <sz val="11"/>
        <rFont val="Arial CE"/>
        <family val="2"/>
      </rPr>
      <t>Poplatek</t>
    </r>
    <r>
      <rPr>
        <sz val="11"/>
        <rFont val="Arial CE"/>
        <family val="2"/>
      </rPr>
      <t> za uložení na skládce stavebního odpadu z plastických hmot (koberec) kód odpadu 17 02 03</t>
    </r>
  </si>
  <si>
    <r>
      <rPr>
        <b/>
        <sz val="11"/>
        <rFont val="Arial CE"/>
        <family val="2"/>
      </rPr>
      <t>Hrubá výplň</t>
    </r>
    <r>
      <rPr>
        <sz val="11"/>
        <rFont val="Arial CE"/>
        <family val="2"/>
      </rPr>
      <t xml:space="preserve"> rýh ve stropech maltou jakékoli šířky rýhy
výměry : 0,100*10+0,070*40</t>
    </r>
  </si>
  <si>
    <r>
      <rPr>
        <b/>
        <sz val="11"/>
        <rFont val="Arial CE"/>
        <family val="2"/>
      </rPr>
      <t>Vápenocementová štuková</t>
    </r>
    <r>
      <rPr>
        <sz val="11"/>
        <rFont val="Arial CE"/>
        <family val="2"/>
      </rPr>
      <t xml:space="preserve"> omítka rýh ve stěnách š do 150 mm. výměry: 0,15*(10,0+40,0)</t>
    </r>
  </si>
  <si>
    <r>
      <t>V</t>
    </r>
    <r>
      <rPr>
        <b/>
        <sz val="11"/>
        <rFont val="Arial CE"/>
        <family val="2"/>
      </rPr>
      <t xml:space="preserve">ápenná štuková </t>
    </r>
    <r>
      <rPr>
        <sz val="11"/>
        <rFont val="Arial CE"/>
        <family val="2"/>
      </rPr>
      <t>omítka malých ploch přes 0,09 do 0,25 m2 na stěnách</t>
    </r>
  </si>
  <si>
    <r>
      <t xml:space="preserve">Úpravy povrchů  </t>
    </r>
    <r>
      <rPr>
        <sz val="11"/>
        <rFont val="Arial CE"/>
        <family val="2"/>
      </rPr>
      <t>po montáži nových rozvodů elektro silno a slabo na chodbě + vybourání prostupů stěnami včetně likvidace, odvozu a skládkovného</t>
    </r>
  </si>
  <si>
    <r>
      <rPr>
        <b/>
        <sz val="11"/>
        <rFont val="Arial CE"/>
        <family val="2"/>
      </rPr>
      <t>Demontáž povlakových podlahovin</t>
    </r>
    <r>
      <rPr>
        <sz val="11"/>
        <rFont val="Arial CE"/>
        <family val="2"/>
      </rPr>
      <t xml:space="preserve"> z PVC lepených ručně  s podložkou  Mj:m2 ;
hmotnost:0,00000 t; Suť:0,00300 t; Normohodiny:0,255 Nh
Cena:156,00 Kč 
</t>
    </r>
    <r>
      <rPr>
        <b/>
        <sz val="11"/>
        <rFont val="Arial CE"/>
        <family val="2"/>
      </rPr>
      <t>výměry : 2,75*5,90-(0,15*0,50)*2</t>
    </r>
  </si>
  <si>
    <r>
      <rPr>
        <b/>
        <sz val="11"/>
        <rFont val="Arial CE"/>
        <family val="2"/>
      </rPr>
      <t>Demontáž soklíků</t>
    </r>
    <r>
      <rPr>
        <sz val="11"/>
        <rFont val="Arial CE"/>
        <family val="2"/>
      </rPr>
      <t xml:space="preserve"> nebo lišt pryžových nebo plastových Mj:m Hmotnost:0,00000 t; Suť:0,00030 t; Normohodiny:0,035 Nh; Cena:15,70 Kč
</t>
    </r>
    <r>
      <rPr>
        <b/>
        <sz val="11"/>
        <rFont val="Arial CE"/>
        <family val="2"/>
      </rPr>
      <t>výměry : (2,75+5,90)*2+0,50*2*2</t>
    </r>
  </si>
  <si>
    <r>
      <rPr>
        <b/>
        <sz val="11"/>
        <rFont val="Arial CE"/>
        <family val="2"/>
      </rPr>
      <t>Odstranění lepidla</t>
    </r>
    <r>
      <rPr>
        <sz val="11"/>
        <rFont val="Arial CE"/>
        <family val="2"/>
      </rPr>
      <t xml:space="preserve"> ručně z podlah Mj:m2 Hmotnost:0,00000 t; Normohodiny:0,420 Nh; Cena:188,00 Kč
výměry : 14,28m2</t>
    </r>
  </si>
  <si>
    <r>
      <rPr>
        <b/>
        <sz val="11"/>
        <rFont val="Arial CE"/>
        <family val="2"/>
      </rPr>
      <t xml:space="preserve">Dodávka textilních </t>
    </r>
    <r>
      <rPr>
        <sz val="11"/>
        <rFont val="Arial CE"/>
        <family val="2"/>
      </rPr>
      <t>podlahovin kladených do čtverců -  ; ztratné 9%</t>
    </r>
  </si>
  <si>
    <r>
      <rPr>
        <b/>
        <sz val="11"/>
        <rFont val="Arial CE"/>
        <family val="2"/>
      </rPr>
      <t xml:space="preserve">Montáž obvodových lišt </t>
    </r>
    <r>
      <rPr>
        <sz val="11"/>
        <rFont val="Arial CE"/>
        <family val="2"/>
      </rPr>
      <t>lepením 
výměry : (5,90+2,75)*2+0,50*2*2</t>
    </r>
  </si>
  <si>
    <r>
      <rPr>
        <b/>
        <sz val="11"/>
        <rFont val="Arial CE"/>
        <family val="2"/>
      </rPr>
      <t xml:space="preserve">Dodávka </t>
    </r>
    <r>
      <rPr>
        <sz val="11"/>
        <rFont val="Arial CE"/>
        <family val="2"/>
      </rPr>
      <t>obvodových, přechodových, rohových lišt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; ztratné 9%</t>
    </r>
  </si>
  <si>
    <r>
      <rPr>
        <b/>
        <sz val="11"/>
        <rFont val="Arial CE"/>
        <family val="2"/>
      </rPr>
      <t xml:space="preserve">Umyvadlo a stojánková baterie - </t>
    </r>
    <r>
      <rPr>
        <sz val="11"/>
        <rFont val="Arial CE"/>
        <family val="2"/>
      </rPr>
      <t xml:space="preserve">dodávka a montáž
</t>
    </r>
  </si>
  <si>
    <r>
      <rPr>
        <b/>
        <sz val="11"/>
        <rFont val="Arial CE"/>
        <family val="2"/>
      </rPr>
      <t xml:space="preserve">Přesun hmot </t>
    </r>
    <r>
      <rPr>
        <sz val="11"/>
        <rFont val="Arial CE"/>
        <family val="2"/>
      </rPr>
      <t xml:space="preserve">procentní pro kce truhlářské </t>
    </r>
  </si>
  <si>
    <r>
      <rPr>
        <b/>
        <sz val="11"/>
        <rFont val="Arial CE"/>
        <family val="2"/>
      </rPr>
      <t xml:space="preserve">Oškrabání malby </t>
    </r>
    <r>
      <rPr>
        <sz val="11"/>
        <rFont val="Arial CE"/>
        <family val="2"/>
      </rPr>
      <t>v místnostech výšky do 2,99 mM j:m2 Hmotnost:0,00100 t; Suť:0,00031 t; Normohodiny:0,074 Nh; Cena:36,60 Kč
výměry : stěn a stropů : (2,75+5,90)*2*2,99 + strop16,08m2</t>
    </r>
  </si>
  <si>
    <r>
      <rPr>
        <b/>
        <sz val="11"/>
        <rFont val="Arial CE"/>
        <family val="2"/>
      </rPr>
      <t xml:space="preserve">Dvojnásobné bílé malby </t>
    </r>
    <r>
      <rPr>
        <sz val="11"/>
        <rFont val="Arial CE"/>
        <family val="2"/>
      </rPr>
      <t>ze směsí za sucha dobře otěruvzdorných v místnostech do 3,80 m
 Mj: m2; Hmotnost: 0,00029t; Hmotnost: 0,064Nh ; 
Cena: 44,50Kč</t>
    </r>
  </si>
  <si>
    <r>
      <t xml:space="preserve">hmotnost </t>
    </r>
    <r>
      <rPr>
        <b/>
        <sz val="11"/>
        <color indexed="8"/>
        <rFont val="Arial"/>
        <family val="2"/>
      </rPr>
      <t>t celkem</t>
    </r>
  </si>
  <si>
    <r>
      <rPr>
        <b/>
        <sz val="10"/>
        <rFont val="Arial"/>
        <family val="2"/>
      </rPr>
      <t>Vyklizení předmětů</t>
    </r>
    <r>
      <rPr>
        <sz val="10"/>
        <rFont val="Arial"/>
        <family val="2"/>
      </rPr>
      <t xml:space="preserve"> (stávající nábytek ) v dotčených místnostech stavebními úpravami, na předem určené místo objednatelem. 
výměry : 5,65*13,775-0,50*0,40*6-3,00*0,30</t>
    </r>
  </si>
  <si>
    <r>
      <rPr>
        <b/>
        <sz val="10"/>
        <rFont val="Arial"/>
        <family val="2"/>
      </rPr>
      <t>Ochrana stavebních konstrukcí</t>
    </r>
    <r>
      <rPr>
        <sz val="10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(5,65+13,775*2)*3,30+průhled (3,90+1,60*2)*2,20</t>
    </r>
  </si>
  <si>
    <r>
      <rPr>
        <b/>
        <sz val="10"/>
        <rFont val="Arial"/>
        <family val="2"/>
      </rPr>
      <t xml:space="preserve">Provizorní zakrytí </t>
    </r>
    <r>
      <rPr>
        <sz val="10"/>
        <rFont val="Arial"/>
        <family val="2"/>
      </rPr>
      <t>stávajících nášlapných ploch proti poškození stavbou (v místech dotčených stavebními úpravami ); OSB deskami,odolnou fólii proti poškození. Dodávka+položení+odklizení+likvidace. výměry : 5,65*13,775-0,50*0,40*6-3,00*0,30</t>
    </r>
  </si>
  <si>
    <r>
      <rPr>
        <b/>
        <sz val="10"/>
        <rFont val="Arial CE"/>
        <family val="2"/>
      </rPr>
      <t>Hrubá výplň</t>
    </r>
    <r>
      <rPr>
        <sz val="10"/>
        <rFont val="Arial CE"/>
        <family val="2"/>
      </rPr>
      <t xml:space="preserve"> rýh ve stropech maltou jakékoli šířky rýhy
výměry : 0,100*30,00</t>
    </r>
  </si>
  <si>
    <r>
      <rPr>
        <b/>
        <sz val="10"/>
        <rFont val="Arial CE"/>
        <family val="2"/>
      </rPr>
      <t>Vápenocementová štuková</t>
    </r>
    <r>
      <rPr>
        <sz val="10"/>
        <rFont val="Arial CE"/>
        <family val="2"/>
      </rPr>
      <t xml:space="preserve"> omítka rýh ve stěnách š do 150 mm. výměry: 0,15*30,00</t>
    </r>
  </si>
  <si>
    <r>
      <t>V</t>
    </r>
    <r>
      <rPr>
        <b/>
        <sz val="10"/>
        <rFont val="Arial CE"/>
        <family val="2"/>
      </rPr>
      <t xml:space="preserve">ápenná štuková </t>
    </r>
    <r>
      <rPr>
        <sz val="10"/>
        <rFont val="Arial CE"/>
        <family val="2"/>
      </rPr>
      <t>omítka malých ploch přes 0,09 do 0,25 m2 na stěnách</t>
    </r>
  </si>
  <si>
    <r>
      <rPr>
        <b/>
        <sz val="10"/>
        <rFont val="Arial CE"/>
        <family val="2"/>
      </rPr>
      <t xml:space="preserve">Úpravy povrchů  </t>
    </r>
    <r>
      <rPr>
        <sz val="10"/>
        <rFont val="Arial CE"/>
        <family val="2"/>
      </rPr>
      <t>po montáži nových rozvodů elektro silno a slabo na chodbě + vybourání prostupů stěnami včetně likvidace, odvozu a skládkovného</t>
    </r>
  </si>
  <si>
    <r>
      <rPr>
        <b/>
        <sz val="10"/>
        <rFont val="Arial CE"/>
        <family val="2"/>
      </rPr>
      <t xml:space="preserve">Oškrabání malby </t>
    </r>
    <r>
      <rPr>
        <sz val="10"/>
        <rFont val="Arial CE"/>
        <family val="2"/>
      </rPr>
      <t>v místnostech výšky do 3,30 m 
M j:m2 Hmotnost:0,00100 t; Suť:0,00031 t; Normohodiny:0,074 Nh; Cena:36,60 Kč
výměry : strop+sloupy+stěna v průhledu : 
(5,65*13,775)+sloupy 0,40+0,50)*2*3,30+průhled 3,90*2,20</t>
    </r>
  </si>
  <si>
    <r>
      <rPr>
        <b/>
        <sz val="10"/>
        <rFont val="Arial CE"/>
        <family val="2"/>
      </rPr>
      <t xml:space="preserve">Dvojnásobné bílé malby </t>
    </r>
    <r>
      <rPr>
        <sz val="10"/>
        <rFont val="Arial CE"/>
        <family val="2"/>
      </rPr>
      <t>ze směsí za sucha dobře otěruvzdorných v místnostech do 3,80 m
 Mj: m2; Hmotnost: 0,00029t; Hmotnost: 0,064Nh ; 
Cena: 44,50Kč
výměry : 92,349m2</t>
    </r>
  </si>
  <si>
    <r>
      <rPr>
        <b/>
        <sz val="10"/>
        <rFont val="Arial"/>
        <family val="2"/>
      </rPr>
      <t>Vyklizení předmětů</t>
    </r>
    <r>
      <rPr>
        <sz val="10"/>
        <rFont val="Arial"/>
        <family val="2"/>
      </rPr>
      <t xml:space="preserve"> (stávající nábytek ) v dotčených místnostech stavebními úpravami, na předem určené místo objednatelem. 
výměry : 6,040*5,90-0,50*0,95-0,50*0,15*4-0,25*0,50*4</t>
    </r>
  </si>
  <si>
    <r>
      <rPr>
        <b/>
        <sz val="10"/>
        <rFont val="Arial CE"/>
        <family val="2"/>
      </rPr>
      <t>Demontáž umyvadla</t>
    </r>
    <r>
      <rPr>
        <sz val="10"/>
        <rFont val="Arial CE"/>
        <family val="2"/>
      </rPr>
      <t xml:space="preserve"> bez výtokových armatur  včetně likvidace</t>
    </r>
  </si>
  <si>
    <r>
      <rPr>
        <b/>
        <sz val="10"/>
        <rFont val="Arial CE"/>
        <family val="2"/>
      </rPr>
      <t xml:space="preserve">Demontáž baterie </t>
    </r>
    <r>
      <rPr>
        <sz val="10"/>
        <rFont val="Arial CE"/>
        <family val="2"/>
      </rPr>
      <t>stojánkové včetně likvidace</t>
    </r>
  </si>
  <si>
    <r>
      <rPr>
        <b/>
        <sz val="10"/>
        <rFont val="Arial CE"/>
        <family val="2"/>
      </rPr>
      <t xml:space="preserve">Vnitrostaveništní doprava </t>
    </r>
    <r>
      <rPr>
        <sz val="10"/>
        <rFont val="Arial CE"/>
        <family val="2"/>
      </rPr>
      <t>suti a vybouraných hmot pro budovy v do 12 m s omezením mechanizace</t>
    </r>
  </si>
  <si>
    <r>
      <rPr>
        <b/>
        <sz val="10"/>
        <rFont val="Arial CE"/>
        <family val="2"/>
      </rPr>
      <t>Hrubá výplň</t>
    </r>
    <r>
      <rPr>
        <sz val="10"/>
        <rFont val="Arial CE"/>
        <family val="2"/>
      </rPr>
      <t xml:space="preserve"> rýh ve stropech maltou jakékoli šířky rýhy
výměry : 0,100*15+0,070*40</t>
    </r>
  </si>
  <si>
    <r>
      <rPr>
        <b/>
        <sz val="10"/>
        <rFont val="Arial CE"/>
        <family val="2"/>
      </rPr>
      <t>Vápenocementová štuková</t>
    </r>
    <r>
      <rPr>
        <sz val="10"/>
        <rFont val="Arial CE"/>
        <family val="2"/>
      </rPr>
      <t xml:space="preserve"> omítka rýh ve stěnách š do 150 mm. výměry: 0,15*(15,0+40,0)</t>
    </r>
  </si>
  <si>
    <r>
      <t xml:space="preserve">Přesun hmot </t>
    </r>
    <r>
      <rPr>
        <sz val="10"/>
        <rFont val="Arial CE"/>
        <family val="2"/>
      </rPr>
      <t>pro budovy zděné 12m</t>
    </r>
  </si>
  <si>
    <r>
      <rPr>
        <b/>
        <sz val="10"/>
        <rFont val="Arial CE"/>
        <family val="2"/>
      </rPr>
      <t>Demontáž povlakových podlahovin</t>
    </r>
    <r>
      <rPr>
        <sz val="10"/>
        <rFont val="Arial CE"/>
        <family val="2"/>
      </rPr>
      <t xml:space="preserve"> lepených ručně 
 s podložkou  Mj:m2 ;
hmotnost:0,00000 t;  Suť:0,00300 t; 
Normohodiny:0,255 Nh
Cena:156,00 Kč 
</t>
    </r>
    <r>
      <rPr>
        <b/>
        <sz val="10"/>
        <rFont val="Arial CE"/>
        <family val="2"/>
      </rPr>
      <t>výměry : 6,040*5,90-0,50*0,95-0,50*0,15*4-0,40*0,50</t>
    </r>
  </si>
  <si>
    <r>
      <rPr>
        <b/>
        <sz val="10"/>
        <rFont val="Arial CE"/>
        <family val="2"/>
      </rPr>
      <t>Demontáž soklíků</t>
    </r>
    <r>
      <rPr>
        <sz val="10"/>
        <rFont val="Arial CE"/>
        <family val="2"/>
      </rPr>
      <t xml:space="preserve"> nebo lišt pryžových nebo plastových Mj:m Hmotnost:0,00000 t; Suť:0,00030 t; Normohodiny:0,035 Nh; Cena:15,70 Kč
</t>
    </r>
    <r>
      <rPr>
        <b/>
        <sz val="10"/>
        <rFont val="Arial CE"/>
        <family val="2"/>
      </rPr>
      <t>výměry : (6,04+5,90)*2+0,95*2+0,50*2*5</t>
    </r>
  </si>
  <si>
    <r>
      <rPr>
        <b/>
        <sz val="10"/>
        <rFont val="Arial CE"/>
        <family val="2"/>
      </rPr>
      <t>Odstranění lepidla</t>
    </r>
    <r>
      <rPr>
        <sz val="10"/>
        <rFont val="Arial CE"/>
        <family val="2"/>
      </rPr>
      <t xml:space="preserve"> ručně z podlah Mj:m2 Hmotnost:0,00000 t; Normohodiny:0,420 Nh; Cena:188,00 Kč</t>
    </r>
  </si>
  <si>
    <r>
      <rPr>
        <b/>
        <sz val="10"/>
        <rFont val="Arial CE"/>
        <family val="2"/>
      </rPr>
      <t xml:space="preserve">Dodávka textilních -zátěžových </t>
    </r>
    <r>
      <rPr>
        <sz val="10"/>
        <rFont val="Arial CE"/>
        <family val="2"/>
      </rPr>
      <t>podlahovin kladených do čtverců -  ; Výměra : 34,661m2*1,09 ztratné 9%</t>
    </r>
  </si>
  <si>
    <r>
      <rPr>
        <b/>
        <sz val="10"/>
        <rFont val="Arial CE"/>
        <family val="2"/>
      </rPr>
      <t xml:space="preserve">Montáž obvodových lišt </t>
    </r>
    <r>
      <rPr>
        <sz val="10"/>
        <rFont val="Arial CE"/>
        <family val="2"/>
      </rPr>
      <t>lepením 
výměry : (6,04+5,90)*2+0,95*2+0,50*2*4</t>
    </r>
  </si>
  <si>
    <r>
      <rPr>
        <b/>
        <sz val="10"/>
        <rFont val="Arial CE"/>
        <family val="2"/>
      </rPr>
      <t xml:space="preserve">Dodávka </t>
    </r>
    <r>
      <rPr>
        <sz val="10"/>
        <rFont val="Arial CE"/>
        <family val="2"/>
      </rPr>
      <t>obvodových,přechodových,rohových lišt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; ztratné 9%</t>
    </r>
  </si>
  <si>
    <r>
      <rPr>
        <b/>
        <sz val="10"/>
        <rFont val="Arial CE"/>
        <family val="2"/>
      </rPr>
      <t xml:space="preserve">Oškrabání malby </t>
    </r>
    <r>
      <rPr>
        <sz val="10"/>
        <rFont val="Arial CE"/>
        <family val="2"/>
      </rPr>
      <t>v místnostech výšky do 2,95 m 
M j:m2 Hmotnost:0,00100 t; Suť:0,00031 t; Normohodiny:0,074 Nh; Cena:36,60 Kč
výměry : stěn a stropů : 
((6,04+5,90)*2+0,50*2*6+0,95*2)*2,95+strop6,040*5,90-0,50*0,95-0,50*0,15*4-0,40*0,50</t>
    </r>
  </si>
  <si>
    <r>
      <rPr>
        <b/>
        <sz val="10"/>
        <rFont val="Arial CE"/>
        <family val="2"/>
      </rPr>
      <t xml:space="preserve">Dvojnásobné bílé malby </t>
    </r>
    <r>
      <rPr>
        <sz val="10"/>
        <rFont val="Arial CE"/>
        <family val="2"/>
      </rPr>
      <t>ze směsí za sucha dobře otěruvzdorných v místnostech do 3,80 m
 Mj: m2; Hmotnost: 0,00029t; Hmotnost: 0,064Nh ; 
Cena: 44,50Kč
výměry : 128,412m2</t>
    </r>
  </si>
  <si>
    <r>
      <rPr>
        <b/>
        <sz val="10"/>
        <rFont val="Arial"/>
        <family val="2"/>
      </rPr>
      <t>Vyklizení předmětů</t>
    </r>
    <r>
      <rPr>
        <sz val="10"/>
        <rFont val="Arial"/>
        <family val="2"/>
      </rPr>
      <t xml:space="preserve"> (stávající nábytek ) v dotčených místnostech stavebními úpravami, na předem určené místo objednatelem. 
výměry : 5,86*5,40-0,50*0,40*2-(0,15*0,50)*4*2</t>
    </r>
  </si>
  <si>
    <r>
      <rPr>
        <b/>
        <sz val="10"/>
        <rFont val="Arial"/>
        <family val="2"/>
      </rPr>
      <t xml:space="preserve">Přemístění </t>
    </r>
    <r>
      <rPr>
        <sz val="10"/>
        <rFont val="Arial"/>
        <family val="2"/>
      </rPr>
      <t xml:space="preserve">pro dočasné uskladnění a zpětné nastěhování dotčených předmětů do cca 50m tam 
a zpět </t>
    </r>
  </si>
  <si>
    <r>
      <rPr>
        <b/>
        <sz val="10"/>
        <rFont val="Arial"/>
        <family val="2"/>
      </rPr>
      <t>Ochrana stavebních konstrukcí</t>
    </r>
    <r>
      <rPr>
        <sz val="10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2,50*2,10*2+1,00*2,00*2</t>
    </r>
  </si>
  <si>
    <r>
      <rPr>
        <b/>
        <sz val="10"/>
        <rFont val="Arial CE"/>
        <family val="2"/>
      </rPr>
      <t>Vyvěšení </t>
    </r>
    <r>
      <rPr>
        <sz val="10"/>
        <rFont val="Arial CE"/>
        <family val="2"/>
      </rPr>
      <t> dřevěných křídel dveří pl do 2 m2 včetně uložení</t>
    </r>
  </si>
  <si>
    <r>
      <rPr>
        <b/>
        <sz val="10"/>
        <rFont val="Arial CE"/>
        <family val="2"/>
      </rPr>
      <t>Demontáž</t>
    </r>
    <r>
      <rPr>
        <sz val="10"/>
        <rFont val="Arial CE"/>
        <family val="2"/>
      </rPr>
      <t> jednokřídlové kovové </t>
    </r>
    <r>
      <rPr>
        <b/>
        <sz val="10"/>
        <rFont val="Arial CE"/>
        <family val="2"/>
      </rPr>
      <t>zárubně</t>
    </r>
    <r>
      <rPr>
        <sz val="10"/>
        <rFont val="Arial CE"/>
        <family val="2"/>
      </rPr>
      <t> v do 2,75 m  příčka včetně likvidace</t>
    </r>
  </si>
  <si>
    <r>
      <rPr>
        <b/>
        <sz val="10"/>
        <rFont val="Arial CE"/>
        <family val="2"/>
      </rPr>
      <t xml:space="preserve">Vyčištění budov </t>
    </r>
    <r>
      <rPr>
        <sz val="10"/>
        <rFont val="Arial CE"/>
        <family val="2"/>
      </rPr>
      <t>nebo objektů před předáním do užívání budov bytové nebo občanské výstavby, světlé výšky podlaží do 4 m .
výměry :5,86*5,40-0,40*0,50*2-(0,15+0,50)*4</t>
    </r>
  </si>
  <si>
    <r>
      <t xml:space="preserve">Zaplentování (doplnění příčky) v  SDK příčce, </t>
    </r>
    <r>
      <rPr>
        <sz val="10"/>
        <rFont val="Arial CE"/>
        <family val="2"/>
      </rPr>
      <t xml:space="preserve"> pl přes 1 do 2m2 deska 1xH2DF 15</t>
    </r>
  </si>
  <si>
    <r>
      <t xml:space="preserve">Přesun hmot </t>
    </r>
    <r>
      <rPr>
        <sz val="10"/>
        <rFont val="Arial CE"/>
        <family val="2"/>
      </rPr>
      <t>procentní pro sádrokartonové konstrukce v objektech v přes 6 do 12 m ; 1,52%</t>
    </r>
  </si>
  <si>
    <r>
      <rPr>
        <b/>
        <sz val="10"/>
        <rFont val="Arial CE"/>
        <family val="2"/>
      </rPr>
      <t>Demontáž povlakových podlahovin</t>
    </r>
    <r>
      <rPr>
        <sz val="10"/>
        <rFont val="Arial CE"/>
        <family val="2"/>
      </rPr>
      <t xml:space="preserve"> lepených ručně 
 s podložkou  Mj:m2 ;
hmotnost:0,00000 t; Suť:0,00300 t; Normohodiny:0,255 Nh
Cena:156,00 Kč 
</t>
    </r>
    <r>
      <rPr>
        <b/>
        <sz val="10"/>
        <rFont val="Arial CE"/>
        <family val="2"/>
      </rPr>
      <t>výměry : 5,86*5,40-0,40*0,50*2-(0,15+0,50)*4</t>
    </r>
  </si>
  <si>
    <r>
      <rPr>
        <b/>
        <sz val="10"/>
        <rFont val="Arial CE"/>
        <family val="2"/>
      </rPr>
      <t>Demontáž soklíků</t>
    </r>
    <r>
      <rPr>
        <sz val="10"/>
        <rFont val="Arial CE"/>
        <family val="2"/>
      </rPr>
      <t xml:space="preserve"> nebo lišt pryžových nebo plastových Mj:m Hmotnost:0,00000 t; Suť:0,00030 t; Normohodiny:0,035 Nh; Cena:15,70 Kč
</t>
    </r>
    <r>
      <rPr>
        <b/>
        <sz val="10"/>
        <rFont val="Arial CE"/>
        <family val="2"/>
      </rPr>
      <t>výměry : (5,86+5,40)*2+(0,50*12)</t>
    </r>
  </si>
  <si>
    <r>
      <rPr>
        <b/>
        <sz val="10"/>
        <rFont val="Arial CE"/>
        <family val="2"/>
      </rPr>
      <t>Odstranění lepidla</t>
    </r>
    <r>
      <rPr>
        <sz val="10"/>
        <rFont val="Arial CE"/>
        <family val="2"/>
      </rPr>
      <t xml:space="preserve"> ručně z podlah Mj:m2 Hmotnost:0,00000 t; Normohodiny:0,420 Nh; Cena:188,00 Kč
výměry : 28,644m2</t>
    </r>
  </si>
  <si>
    <r>
      <rPr>
        <b/>
        <sz val="10"/>
        <rFont val="Arial CE"/>
        <family val="2"/>
      </rPr>
      <t>Montáž PVC podlahovin</t>
    </r>
    <r>
      <rPr>
        <sz val="10"/>
        <rFont val="Arial CE"/>
        <family val="2"/>
      </rPr>
      <t xml:space="preserve"> lepením čtverců  Mj:m2; Hmotnost:0,00040 t;Normohodiny:0,350 Nh; 
Cena:355,00 Kč</t>
    </r>
  </si>
  <si>
    <r>
      <rPr>
        <b/>
        <sz val="10"/>
        <rFont val="Arial CE"/>
        <family val="2"/>
      </rPr>
      <t xml:space="preserve">Dodávka podlahovin zátěžových </t>
    </r>
    <r>
      <rPr>
        <sz val="10"/>
        <rFont val="Arial CE"/>
        <family val="2"/>
      </rPr>
      <t xml:space="preserve"> kladených do čtverců -  ; Výměra : 28,644m2*1,09 ztratné 9%</t>
    </r>
  </si>
  <si>
    <r>
      <rPr>
        <b/>
        <sz val="10"/>
        <rFont val="Arial CE"/>
        <family val="2"/>
      </rPr>
      <t xml:space="preserve">Montáž obvodových lišt </t>
    </r>
    <r>
      <rPr>
        <sz val="10"/>
        <rFont val="Arial CE"/>
        <family val="2"/>
      </rPr>
      <t>lepením 
výměry : (5,86+5,40)*2+(0,50*12)</t>
    </r>
  </si>
  <si>
    <r>
      <rPr>
        <b/>
        <sz val="10"/>
        <rFont val="Arial CE"/>
        <family val="2"/>
      </rPr>
      <t xml:space="preserve">Oškrabání malby </t>
    </r>
    <r>
      <rPr>
        <sz val="10"/>
        <rFont val="Arial CE"/>
        <family val="2"/>
      </rPr>
      <t>v místnostech výšky do 2,95 m 
M j:m2 Hmotnost:0,00100 t; Suť:0,00031 t; Normohodiny:0,074 Nh; Cena:36,60 Kč
výměry : stěn a stropů : 
(5,86+5,40)*2*2,95+28,644m2</t>
    </r>
  </si>
  <si>
    <r>
      <rPr>
        <b/>
        <sz val="10"/>
        <rFont val="Arial CE"/>
        <family val="2"/>
      </rPr>
      <t xml:space="preserve">Dvojnásobné bílé malby </t>
    </r>
    <r>
      <rPr>
        <sz val="10"/>
        <rFont val="Arial CE"/>
        <family val="2"/>
      </rPr>
      <t>ze směsí za sucha dobře otěruvzdorných v místnostech do 3,80 m
 Mj: m2; Hmotnost: 0,00029t; Hmotnost: 0,064Nh ; 
Cena: 44,50Kč
výměry : 95,078m2</t>
    </r>
  </si>
  <si>
    <r>
      <rPr>
        <b/>
        <sz val="10"/>
        <rFont val="Arial"/>
        <family val="2"/>
      </rPr>
      <t>Vyklizení předmětů</t>
    </r>
    <r>
      <rPr>
        <sz val="10"/>
        <rFont val="Arial"/>
        <family val="2"/>
      </rPr>
      <t xml:space="preserve"> (stávající nábytek ) v dotčených místnostech stavebními úpravami, na předem určené místo objednatelem. 
výměry : 9,50*6,93-0,85*0,35-0,50*0,35-0,15-0,35</t>
    </r>
  </si>
  <si>
    <r>
      <rPr>
        <b/>
        <sz val="10"/>
        <rFont val="Arial"/>
        <family val="2"/>
      </rPr>
      <t>Ochrana stavebních konstrukcí</t>
    </r>
    <r>
      <rPr>
        <sz val="10"/>
        <rFont val="Arial"/>
        <family val="2"/>
      </rPr>
      <t xml:space="preserve"> a samostatných prvků včetně pozdějšího odstranění obalením geotextilií a odolnou fólii samostatných konstrukcí a prvků (např. oken, dveří, rámů a zárubní)
výměry : 2,50*2,10*2+1,00*2,00</t>
    </r>
  </si>
  <si>
    <r>
      <rPr>
        <b/>
        <sz val="10"/>
        <rFont val="Arial CE"/>
        <family val="2"/>
      </rPr>
      <t>Poplatek</t>
    </r>
    <r>
      <rPr>
        <sz val="10"/>
        <rFont val="Arial CE"/>
        <family val="2"/>
      </rPr>
      <t> za uložení na skládce stavebního odpadu z plastických hmot  kód odpadu 17 02 03 
(t=viz podlahy povlakové)</t>
    </r>
  </si>
  <si>
    <r>
      <rPr>
        <b/>
        <sz val="10"/>
        <rFont val="Arial CE"/>
        <family val="2"/>
      </rPr>
      <t>Hrubá výplň</t>
    </r>
    <r>
      <rPr>
        <sz val="10"/>
        <rFont val="Arial CE"/>
        <family val="2"/>
      </rPr>
      <t xml:space="preserve"> rýh ve stropech maltou jakékoli šířky rýhy
výměry : 0,100*60</t>
    </r>
  </si>
  <si>
    <r>
      <rPr>
        <b/>
        <sz val="10"/>
        <rFont val="Arial CE"/>
        <family val="2"/>
      </rPr>
      <t>Vápenocementová štuková</t>
    </r>
    <r>
      <rPr>
        <sz val="10"/>
        <rFont val="Arial CE"/>
        <family val="2"/>
      </rPr>
      <t xml:space="preserve"> omítka rýh ve stěnách š do 150 mm. výměry: 0,15*60</t>
    </r>
  </si>
  <si>
    <r>
      <rPr>
        <b/>
        <sz val="10"/>
        <rFont val="Arial CE"/>
        <family val="2"/>
      </rPr>
      <t xml:space="preserve">Vyčištění budov </t>
    </r>
    <r>
      <rPr>
        <sz val="10"/>
        <rFont val="Arial CE"/>
        <family val="2"/>
      </rPr>
      <t>nebo objektů před předáním do užívání budov bytové nebo občanské výstavby, světlé výšky podlaží do 4 m .
výměry :9,50*6,93-0,85*0,35-0,50*0,35-0,15-0,35</t>
    </r>
  </si>
  <si>
    <r>
      <rPr>
        <b/>
        <sz val="10"/>
        <rFont val="Arial CE"/>
        <family val="2"/>
      </rPr>
      <t>Demontáž povlakových podlahovin</t>
    </r>
    <r>
      <rPr>
        <sz val="10"/>
        <rFont val="Arial CE"/>
        <family val="2"/>
      </rPr>
      <t xml:space="preserve"> lepených ručně 
 s podložkou  Mj:m2 ;
hmotnost:0,00000 t; Suť:0,00300 t; Normohodiny:0,255 Nh
Cena:156,00 Kč 
</t>
    </r>
    <r>
      <rPr>
        <b/>
        <sz val="10"/>
        <rFont val="Arial CE"/>
        <family val="2"/>
      </rPr>
      <t>výměry : 9,50*6,93-0,85*0,35-0,50*0,35-0,15-0,35</t>
    </r>
  </si>
  <si>
    <r>
      <rPr>
        <b/>
        <sz val="10"/>
        <rFont val="Arial CE"/>
        <family val="2"/>
      </rPr>
      <t>Demontáž soklíků</t>
    </r>
    <r>
      <rPr>
        <sz val="10"/>
        <rFont val="Arial CE"/>
        <family val="2"/>
      </rPr>
      <t xml:space="preserve"> nebo lišt pryžových nebo plastových Mj:m Hmotnost:0,00000 t; Suť:0,00030 t; Normohodiny:0,035 Nh; Cena:15,70 Kč
</t>
    </r>
    <r>
      <rPr>
        <b/>
        <sz val="10"/>
        <rFont val="Arial CE"/>
        <family val="2"/>
      </rPr>
      <t>výměry : (9,50+6,93)*2+(0,35*2)</t>
    </r>
  </si>
  <si>
    <r>
      <rPr>
        <b/>
        <sz val="10"/>
        <rFont val="Arial CE"/>
        <family val="2"/>
      </rPr>
      <t>Odstranění lepidla</t>
    </r>
    <r>
      <rPr>
        <sz val="10"/>
        <rFont val="Arial CE"/>
        <family val="2"/>
      </rPr>
      <t xml:space="preserve"> ručně z podlah Mj:m2 Hmotnost:0,00000 t; Normohodiny:0,420 Nh; Cena:188,00 Kč
výměry : 64,863m2</t>
    </r>
  </si>
  <si>
    <r>
      <rPr>
        <b/>
        <sz val="10"/>
        <rFont val="Arial CE"/>
        <family val="2"/>
      </rPr>
      <t xml:space="preserve">Dodávka podlahovin zátěžových </t>
    </r>
    <r>
      <rPr>
        <sz val="10"/>
        <rFont val="Arial CE"/>
        <family val="2"/>
      </rPr>
      <t xml:space="preserve"> kladených do čtverců -  ; Výměra : 64,863m2*1,09 ztratné 9%</t>
    </r>
  </si>
  <si>
    <r>
      <rPr>
        <b/>
        <sz val="10"/>
        <rFont val="Arial CE"/>
        <family val="2"/>
      </rPr>
      <t xml:space="preserve">Montáž obvodových lišt </t>
    </r>
    <r>
      <rPr>
        <sz val="10"/>
        <rFont val="Arial CE"/>
        <family val="2"/>
      </rPr>
      <t>lepením 
výměry : (9,50+6,93)*2+0,35*2</t>
    </r>
  </si>
  <si>
    <r>
      <rPr>
        <b/>
        <sz val="10"/>
        <rFont val="Arial CE"/>
        <family val="2"/>
      </rPr>
      <t xml:space="preserve">Oškrabání malby </t>
    </r>
    <r>
      <rPr>
        <sz val="10"/>
        <rFont val="Arial CE"/>
        <family val="2"/>
      </rPr>
      <t>v místnostech výšky do 2,95 m 
M j:m2 Hmotnost:0,00100 t; Suť:0,00031 t; Normohodiny:0,074 Nh; Cena:36,60 Kč
výměry : stěn a stropů : 
(9,50+6,93)*2*3,53+64,863m2</t>
    </r>
  </si>
  <si>
    <r>
      <rPr>
        <b/>
        <sz val="10"/>
        <rFont val="Arial CE"/>
        <family val="2"/>
      </rPr>
      <t xml:space="preserve">Dvojnásobné bílé malby </t>
    </r>
    <r>
      <rPr>
        <sz val="10"/>
        <rFont val="Arial CE"/>
        <family val="2"/>
      </rPr>
      <t>ze směsí za sucha dobře otěruvzdorných v místnostech do 3,80 m
 Mj: m2; Hmotnost: 0,00029t; Hmotnost: 0,064Nh ; 
Cena: 44,50Kč
výměry : 180,859m2</t>
    </r>
  </si>
  <si>
    <r>
      <rPr>
        <b/>
        <sz val="10"/>
        <rFont val="Arial CE"/>
        <family val="2"/>
      </rPr>
      <t>Interierové rolety</t>
    </r>
    <r>
      <rPr>
        <sz val="10"/>
        <rFont val="Arial CE"/>
        <family val="2"/>
      </rPr>
      <t>, elektrický pohon, 100% zastínění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</si>
</sst>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#,##0.0"/>
    <numFmt numFmtId="165" formatCode="#,##0.000"/>
    <numFmt numFmtId="166" formatCode="0.000"/>
    <numFmt numFmtId="167" formatCode="#,##0.00\ &quot;Kč&quot;"/>
    <numFmt numFmtId="168" formatCode="#,##0\ &quot;Kč&quot;"/>
    <numFmt numFmtId="169" formatCode="_(#,##0&quot;.&quot;_);;;_(@_)"/>
    <numFmt numFmtId="170" formatCode="#,##0.0000"/>
  </numFmts>
  <fonts count="9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2"/>
      <name val="Calibri"/>
      <family val="2"/>
      <scheme val="minor"/>
    </font>
    <font>
      <sz val="9"/>
      <name val="Arial CE"/>
      <family val="2"/>
    </font>
    <font>
      <sz val="9"/>
      <color theme="1"/>
      <name val="Arial CE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 CE"/>
      <family val="2"/>
    </font>
    <font>
      <b/>
      <sz val="11"/>
      <color theme="1"/>
      <name val="Arial CE"/>
      <family val="2"/>
    </font>
    <font>
      <b/>
      <sz val="12"/>
      <color theme="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CE"/>
      <family val="2"/>
    </font>
    <font>
      <sz val="7"/>
      <color theme="1"/>
      <name val="Arial CE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color rgb="FF00B050"/>
      <name val="Arial"/>
      <family val="2"/>
    </font>
    <font>
      <sz val="9"/>
      <color rgb="FF00B050"/>
      <name val="Arial CE"/>
      <family val="2"/>
    </font>
    <font>
      <b/>
      <sz val="8"/>
      <color rgb="FFFF0000"/>
      <name val="Arial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 CE"/>
      <family val="2"/>
    </font>
    <font>
      <sz val="11"/>
      <color theme="1"/>
      <name val="Arial CE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E"/>
      <family val="2"/>
    </font>
    <font>
      <sz val="12"/>
      <color theme="1"/>
      <name val="Arial CE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Arial Narrow"/>
      <family val="2"/>
    </font>
    <font>
      <sz val="10"/>
      <name val="Helv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b/>
      <u val="double"/>
      <sz val="9"/>
      <name val="Arial CE"/>
      <family val="2"/>
    </font>
    <font>
      <b/>
      <sz val="9"/>
      <color indexed="8"/>
      <name val="Arial CE"/>
      <family val="2"/>
    </font>
    <font>
      <sz val="7"/>
      <color rgb="FFFF0000"/>
      <name val="Arial"/>
      <family val="2"/>
    </font>
    <font>
      <b/>
      <sz val="14"/>
      <color theme="1"/>
      <name val="Arial CE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</cellStyleXfs>
  <cellXfs count="60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3" fontId="12" fillId="0" borderId="0" xfId="0" applyNumberFormat="1" applyFont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3" fontId="15" fillId="0" borderId="0" xfId="0" applyNumberFormat="1" applyFont="1" applyFill="1" applyBorder="1"/>
    <xf numFmtId="0" fontId="13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3" fontId="3" fillId="0" borderId="0" xfId="0" applyNumberFormat="1" applyFont="1" applyFill="1" applyBorder="1"/>
    <xf numFmtId="0" fontId="15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Protection="1">
      <protection locked="0"/>
    </xf>
    <xf numFmtId="3" fontId="12" fillId="0" borderId="0" xfId="0" applyNumberFormat="1" applyFont="1" applyProtection="1">
      <protection/>
    </xf>
    <xf numFmtId="2" fontId="2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165" fontId="15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3" fontId="15" fillId="0" borderId="0" xfId="0" applyNumberFormat="1" applyFont="1" applyFill="1" applyBorder="1" applyProtection="1"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Protection="1">
      <protection/>
    </xf>
    <xf numFmtId="2" fontId="26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right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" xfId="0" applyNumberFormat="1" applyFont="1" applyFill="1" applyBorder="1" applyAlignment="1" applyProtection="1">
      <alignment horizontal="center" vertical="center" wrapText="1"/>
      <protection/>
    </xf>
    <xf numFmtId="2" fontId="26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Font="1" applyFill="1" applyBorder="1" applyAlignment="1" applyProtection="1">
      <alignment horizontal="left" vertical="top" wrapText="1"/>
      <protection/>
    </xf>
    <xf numFmtId="0" fontId="12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horizontal="left" wrapText="1"/>
      <protection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wrapText="1"/>
      <protection/>
    </xf>
    <xf numFmtId="0" fontId="31" fillId="0" borderId="0" xfId="0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center"/>
      <protection/>
    </xf>
    <xf numFmtId="165" fontId="32" fillId="0" borderId="0" xfId="0" applyNumberFormat="1" applyFont="1" applyFill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Fill="1" applyAlignment="1" applyProtection="1">
      <alignment horizontal="center"/>
      <protection/>
    </xf>
    <xf numFmtId="165" fontId="3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3" fillId="0" borderId="0" xfId="0" applyNumberFormat="1" applyFont="1" applyFill="1" applyBorder="1" applyAlignment="1" applyProtection="1">
      <alignment horizontal="right"/>
      <protection/>
    </xf>
    <xf numFmtId="0" fontId="20" fillId="0" borderId="0" xfId="2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wrapText="1"/>
      <protection/>
    </xf>
    <xf numFmtId="0" fontId="34" fillId="0" borderId="0" xfId="0" applyFont="1" applyFill="1" applyAlignment="1" applyProtection="1">
      <alignment horizontal="center"/>
      <protection/>
    </xf>
    <xf numFmtId="165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Protection="1">
      <protection locked="0"/>
    </xf>
    <xf numFmtId="0" fontId="27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wrapText="1"/>
      <protection/>
    </xf>
    <xf numFmtId="0" fontId="34" fillId="0" borderId="0" xfId="0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center"/>
      <protection/>
    </xf>
    <xf numFmtId="2" fontId="35" fillId="0" borderId="0" xfId="0" applyNumberFormat="1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wrapText="1"/>
      <protection/>
    </xf>
    <xf numFmtId="166" fontId="35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/>
      <protection/>
    </xf>
    <xf numFmtId="165" fontId="20" fillId="0" borderId="0" xfId="0" applyNumberFormat="1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165" fontId="36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vertical="top" wrapText="1"/>
      <protection/>
    </xf>
    <xf numFmtId="4" fontId="11" fillId="0" borderId="0" xfId="0" applyNumberFormat="1" applyFont="1" applyProtection="1">
      <protection locked="0"/>
    </xf>
    <xf numFmtId="49" fontId="37" fillId="0" borderId="0" xfId="0" applyNumberFormat="1" applyFont="1" applyFill="1" applyBorder="1" applyAlignment="1" applyProtection="1">
      <alignment vertical="top"/>
      <protection/>
    </xf>
    <xf numFmtId="165" fontId="38" fillId="0" borderId="0" xfId="0" applyNumberFormat="1" applyFont="1" applyAlignment="1" applyProtection="1">
      <alignment horizontal="right"/>
      <protection/>
    </xf>
    <xf numFmtId="164" fontId="38" fillId="0" borderId="0" xfId="0" applyNumberFormat="1" applyFont="1" applyProtection="1">
      <protection locked="0"/>
    </xf>
    <xf numFmtId="3" fontId="38" fillId="0" borderId="0" xfId="0" applyNumberFormat="1" applyFont="1" applyAlignment="1" applyProtection="1">
      <alignment horizontal="center"/>
      <protection/>
    </xf>
    <xf numFmtId="2" fontId="24" fillId="0" borderId="0" xfId="0" applyNumberFormat="1" applyFont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164" fontId="40" fillId="0" borderId="0" xfId="0" applyNumberFormat="1" applyFont="1" applyProtection="1">
      <protection locked="0"/>
    </xf>
    <xf numFmtId="3" fontId="40" fillId="0" borderId="0" xfId="0" applyNumberFormat="1" applyFont="1" applyProtection="1">
      <protection/>
    </xf>
    <xf numFmtId="0" fontId="42" fillId="0" borderId="0" xfId="0" applyFont="1"/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165" fontId="41" fillId="0" borderId="0" xfId="0" applyNumberFormat="1" applyFont="1" applyFill="1" applyBorder="1" applyAlignment="1" applyProtection="1">
      <alignment horizontal="right"/>
      <protection/>
    </xf>
    <xf numFmtId="164" fontId="41" fillId="0" borderId="0" xfId="0" applyNumberFormat="1" applyFont="1" applyFill="1" applyBorder="1" applyProtection="1">
      <protection locked="0"/>
    </xf>
    <xf numFmtId="3" fontId="43" fillId="0" borderId="0" xfId="0" applyNumberFormat="1" applyFont="1" applyFill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right" wrapText="1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3" fontId="41" fillId="0" borderId="0" xfId="0" applyNumberFormat="1" applyFont="1" applyFill="1" applyBorder="1" applyProtection="1"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40" fillId="0" borderId="0" xfId="0" applyFont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Protection="1"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Protection="1">
      <protection locked="0"/>
    </xf>
    <xf numFmtId="0" fontId="41" fillId="0" borderId="0" xfId="0" applyFont="1" applyFill="1" applyBorder="1" applyAlignment="1" applyProtection="1">
      <alignment wrapText="1"/>
      <protection/>
    </xf>
    <xf numFmtId="3" fontId="43" fillId="0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 wrapText="1"/>
      <protection/>
    </xf>
    <xf numFmtId="0" fontId="41" fillId="0" borderId="1" xfId="0" applyFont="1" applyFill="1" applyBorder="1" applyAlignment="1" applyProtection="1">
      <alignment horizontal="center" vertical="center" wrapText="1"/>
      <protection/>
    </xf>
    <xf numFmtId="164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2" xfId="0" applyNumberFormat="1" applyFont="1" applyFill="1" applyBorder="1" applyAlignment="1" applyProtection="1">
      <alignment horizontal="center" vertical="center" wrapText="1"/>
      <protection/>
    </xf>
    <xf numFmtId="2" fontId="41" fillId="0" borderId="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20" applyFont="1" applyFill="1" applyBorder="1" applyAlignment="1" applyProtection="1">
      <alignment horizontal="left" vertical="top" wrapText="1"/>
      <protection/>
    </xf>
    <xf numFmtId="0" fontId="40" fillId="0" borderId="0" xfId="20" applyFont="1" applyFill="1" applyBorder="1" applyAlignment="1" applyProtection="1">
      <alignment horizontal="left" wrapText="1"/>
      <protection/>
    </xf>
    <xf numFmtId="0" fontId="40" fillId="0" borderId="0" xfId="20" applyFont="1" applyFill="1" applyBorder="1" applyAlignment="1" applyProtection="1">
      <alignment horizontal="left" wrapText="1"/>
      <protection/>
    </xf>
    <xf numFmtId="0" fontId="47" fillId="0" borderId="0" xfId="2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 wrapText="1"/>
      <protection/>
    </xf>
    <xf numFmtId="3" fontId="30" fillId="0" borderId="0" xfId="0" applyNumberFormat="1" applyFont="1" applyFill="1" applyAlignment="1" applyProtection="1">
      <alignment horizontal="center"/>
      <protection/>
    </xf>
    <xf numFmtId="165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30" fillId="0" borderId="0" xfId="2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 horizontal="center"/>
      <protection/>
    </xf>
    <xf numFmtId="165" fontId="30" fillId="0" borderId="0" xfId="0" applyNumberFormat="1" applyFont="1" applyFill="1" applyAlignment="1" applyProtection="1">
      <alignment horizontal="right"/>
      <protection/>
    </xf>
    <xf numFmtId="164" fontId="30" fillId="0" borderId="0" xfId="0" applyNumberFormat="1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wrapText="1"/>
      <protection/>
    </xf>
    <xf numFmtId="0" fontId="30" fillId="0" borderId="0" xfId="0" applyFont="1" applyAlignment="1" applyProtection="1">
      <alignment horizontal="center"/>
      <protection/>
    </xf>
    <xf numFmtId="165" fontId="30" fillId="0" borderId="0" xfId="0" applyNumberFormat="1" applyFont="1" applyAlignment="1" applyProtection="1">
      <alignment horizontal="right"/>
      <protection/>
    </xf>
    <xf numFmtId="164" fontId="30" fillId="0" borderId="0" xfId="0" applyNumberFormat="1" applyFont="1" applyProtection="1">
      <protection locked="0"/>
    </xf>
    <xf numFmtId="3" fontId="30" fillId="0" borderId="0" xfId="0" applyNumberFormat="1" applyFont="1" applyAlignment="1" applyProtection="1">
      <alignment horizontal="center"/>
      <protection/>
    </xf>
    <xf numFmtId="2" fontId="3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wrapText="1"/>
      <protection/>
    </xf>
    <xf numFmtId="166" fontId="3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30" fillId="0" borderId="0" xfId="0" applyFont="1" applyAlignment="1" applyProtection="1">
      <alignment vertical="top" wrapText="1"/>
      <protection/>
    </xf>
    <xf numFmtId="164" fontId="5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4" fontId="30" fillId="0" borderId="0" xfId="0" applyNumberFormat="1" applyFont="1" applyProtection="1">
      <protection locked="0"/>
    </xf>
    <xf numFmtId="0" fontId="4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164" fontId="48" fillId="0" borderId="0" xfId="0" applyNumberFormat="1" applyFont="1" applyProtection="1">
      <protection locked="0"/>
    </xf>
    <xf numFmtId="3" fontId="48" fillId="0" borderId="0" xfId="0" applyNumberFormat="1" applyFont="1" applyProtection="1">
      <protection/>
    </xf>
    <xf numFmtId="2" fontId="48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/>
      <protection/>
    </xf>
    <xf numFmtId="165" fontId="49" fillId="0" borderId="0" xfId="0" applyNumberFormat="1" applyFont="1" applyFill="1" applyBorder="1" applyAlignment="1" applyProtection="1">
      <alignment horizontal="right"/>
      <protection/>
    </xf>
    <xf numFmtId="164" fontId="49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Alignment="1" applyProtection="1">
      <alignment horizontal="center"/>
      <protection/>
    </xf>
    <xf numFmtId="2" fontId="49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right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3" fontId="49" fillId="0" borderId="0" xfId="0" applyNumberFormat="1" applyFont="1" applyFill="1" applyBorder="1" applyProtection="1"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48" fillId="0" borderId="0" xfId="0" applyFont="1" applyAlignment="1" applyProtection="1">
      <alignment horizontal="left" wrapText="1"/>
      <protection/>
    </xf>
    <xf numFmtId="0" fontId="49" fillId="0" borderId="0" xfId="0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Protection="1">
      <protection/>
    </xf>
    <xf numFmtId="2" fontId="4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Protection="1">
      <protection locked="0"/>
    </xf>
    <xf numFmtId="0" fontId="49" fillId="0" borderId="0" xfId="0" applyFont="1" applyFill="1" applyBorder="1" applyAlignment="1" applyProtection="1">
      <alignment wrapText="1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right" wrapText="1"/>
      <protection/>
    </xf>
    <xf numFmtId="0" fontId="48" fillId="0" borderId="0" xfId="20" applyFont="1" applyFill="1" applyBorder="1" applyAlignment="1" applyProtection="1">
      <alignment horizontal="left" vertical="top" wrapText="1"/>
      <protection/>
    </xf>
    <xf numFmtId="0" fontId="48" fillId="0" borderId="0" xfId="20" applyFont="1" applyFill="1" applyBorder="1" applyAlignment="1" applyProtection="1">
      <alignment horizontal="left" wrapText="1"/>
      <protection/>
    </xf>
    <xf numFmtId="0" fontId="48" fillId="0" borderId="0" xfId="20" applyFont="1" applyFill="1" applyBorder="1" applyAlignment="1" applyProtection="1">
      <alignment horizontal="left" wrapText="1"/>
      <protection/>
    </xf>
    <xf numFmtId="0" fontId="18" fillId="0" borderId="0" xfId="20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53" fillId="0" borderId="0" xfId="20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164" fontId="54" fillId="0" borderId="0" xfId="0" applyNumberFormat="1" applyFont="1" applyProtection="1">
      <protection locked="0"/>
    </xf>
    <xf numFmtId="0" fontId="57" fillId="0" borderId="0" xfId="0" applyFont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horizontal="center"/>
      <protection/>
    </xf>
    <xf numFmtId="164" fontId="55" fillId="0" borderId="0" xfId="0" applyNumberFormat="1" applyFont="1" applyFill="1" applyBorder="1" applyProtection="1">
      <protection locked="0"/>
    </xf>
    <xf numFmtId="0" fontId="57" fillId="0" borderId="0" xfId="0" applyFont="1" applyFill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right"/>
      <protection/>
    </xf>
    <xf numFmtId="0" fontId="60" fillId="0" borderId="0" xfId="0" applyFont="1"/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65" fontId="15" fillId="0" borderId="1" xfId="0" applyNumberFormat="1" applyFont="1" applyFill="1" applyBorder="1" applyAlignment="1" applyProtection="1">
      <alignment horizontal="right" vertical="center" wrapText="1"/>
      <protection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0" applyNumberFormat="1" applyFont="1" applyFill="1" applyBorder="1" applyAlignment="1" applyProtection="1">
      <alignment horizontal="center" vertical="center" wrapText="1"/>
      <protection/>
    </xf>
    <xf numFmtId="2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vertical="top" wrapText="1"/>
      <protection/>
    </xf>
    <xf numFmtId="8" fontId="11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/>
      <protection/>
    </xf>
    <xf numFmtId="2" fontId="38" fillId="0" borderId="0" xfId="0" applyNumberFormat="1" applyFont="1" applyAlignment="1" applyProtection="1">
      <alignment horizontal="right"/>
      <protection/>
    </xf>
    <xf numFmtId="0" fontId="62" fillId="2" borderId="1" xfId="0" applyFont="1" applyFill="1" applyBorder="1" applyAlignment="1">
      <alignment horizontal="center" wrapText="1"/>
    </xf>
    <xf numFmtId="0" fontId="1" fillId="0" borderId="0" xfId="0" applyFont="1"/>
    <xf numFmtId="0" fontId="63" fillId="0" borderId="3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0" fillId="0" borderId="0" xfId="0"/>
    <xf numFmtId="0" fontId="64" fillId="0" borderId="1" xfId="0" applyFont="1" applyBorder="1" applyAlignment="1">
      <alignment horizontal="center"/>
    </xf>
    <xf numFmtId="0" fontId="64" fillId="0" borderId="1" xfId="0" applyFont="1" applyBorder="1"/>
    <xf numFmtId="167" fontId="64" fillId="0" borderId="1" xfId="0" applyNumberFormat="1" applyFont="1" applyBorder="1" applyProtection="1">
      <protection locked="0"/>
    </xf>
    <xf numFmtId="167" fontId="64" fillId="0" borderId="1" xfId="0" applyNumberFormat="1" applyFont="1" applyBorder="1"/>
    <xf numFmtId="0" fontId="63" fillId="0" borderId="1" xfId="0" applyFont="1" applyBorder="1" applyAlignment="1">
      <alignment horizontal="right"/>
    </xf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 applyProtection="1">
      <alignment horizontal="left"/>
      <protection locked="0"/>
    </xf>
    <xf numFmtId="168" fontId="65" fillId="0" borderId="1" xfId="0" applyNumberFormat="1" applyFont="1" applyBorder="1"/>
    <xf numFmtId="168" fontId="65" fillId="0" borderId="1" xfId="0" applyNumberFormat="1" applyFont="1" applyBorder="1" applyProtection="1">
      <protection locked="0"/>
    </xf>
    <xf numFmtId="0" fontId="63" fillId="0" borderId="0" xfId="0" applyFont="1"/>
    <xf numFmtId="9" fontId="64" fillId="0" borderId="1" xfId="0" applyNumberFormat="1" applyFont="1" applyBorder="1" applyAlignment="1">
      <alignment horizontal="center"/>
    </xf>
    <xf numFmtId="0" fontId="63" fillId="0" borderId="1" xfId="0" applyFont="1" applyBorder="1"/>
    <xf numFmtId="0" fontId="1" fillId="0" borderId="0" xfId="0" applyFont="1"/>
    <xf numFmtId="0" fontId="64" fillId="0" borderId="1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168" fontId="65" fillId="0" borderId="0" xfId="0" applyNumberFormat="1" applyFont="1"/>
    <xf numFmtId="168" fontId="66" fillId="0" borderId="0" xfId="0" applyNumberFormat="1" applyFont="1"/>
    <xf numFmtId="0" fontId="66" fillId="0" borderId="0" xfId="0" applyFont="1"/>
    <xf numFmtId="0" fontId="64" fillId="0" borderId="0" xfId="0" applyFont="1"/>
    <xf numFmtId="0" fontId="67" fillId="0" borderId="0" xfId="0" applyFont="1" applyAlignment="1">
      <alignment horizontal="left"/>
    </xf>
    <xf numFmtId="168" fontId="67" fillId="3" borderId="0" xfId="0" applyNumberFormat="1" applyFont="1" applyFill="1" applyAlignment="1">
      <alignment horizontal="left"/>
    </xf>
    <xf numFmtId="0" fontId="67" fillId="3" borderId="0" xfId="0" applyFont="1" applyFill="1" applyAlignment="1">
      <alignment horizontal="left"/>
    </xf>
    <xf numFmtId="0" fontId="67" fillId="0" borderId="0" xfId="0" applyFont="1" applyAlignment="1">
      <alignment/>
    </xf>
    <xf numFmtId="169" fontId="68" fillId="4" borderId="4" xfId="0" applyNumberFormat="1" applyFont="1" applyFill="1" applyBorder="1" applyAlignment="1" applyProtection="1">
      <alignment horizontal="center" vertical="center" wrapText="1"/>
      <protection/>
    </xf>
    <xf numFmtId="169" fontId="68" fillId="4" borderId="0" xfId="0" applyNumberFormat="1" applyFont="1" applyFill="1" applyAlignment="1" applyProtection="1">
      <alignment horizontal="center" vertical="center" wrapText="1"/>
      <protection/>
    </xf>
    <xf numFmtId="0" fontId="68" fillId="4" borderId="0" xfId="21" applyFont="1" applyFill="1" applyAlignment="1" applyProtection="1">
      <alignment vertical="center" wrapText="1"/>
      <protection/>
    </xf>
    <xf numFmtId="0" fontId="68" fillId="4" borderId="0" xfId="21" applyFont="1" applyFill="1" applyAlignment="1" applyProtection="1">
      <alignment horizontal="center" vertical="center" wrapText="1"/>
      <protection/>
    </xf>
    <xf numFmtId="164" fontId="68" fillId="0" borderId="0" xfId="21" applyNumberFormat="1" applyFont="1" applyAlignment="1" applyProtection="1">
      <alignment horizontal="center" vertical="center" wrapText="1"/>
      <protection/>
    </xf>
    <xf numFmtId="42" fontId="64" fillId="4" borderId="0" xfId="22" applyNumberFormat="1" applyFont="1" applyFill="1" applyAlignment="1" applyProtection="1">
      <alignment vertical="center" wrapText="1"/>
      <protection locked="0"/>
    </xf>
    <xf numFmtId="42" fontId="64" fillId="4" borderId="0" xfId="22" applyNumberFormat="1" applyFont="1" applyFill="1" applyAlignment="1" applyProtection="1">
      <alignment horizontal="left" vertical="center" wrapText="1"/>
      <protection/>
    </xf>
    <xf numFmtId="0" fontId="70" fillId="4" borderId="5" xfId="20" applyFont="1" applyFill="1" applyBorder="1" applyAlignment="1" applyProtection="1">
      <alignment horizontal="center" vertical="center"/>
      <protection/>
    </xf>
    <xf numFmtId="49" fontId="70" fillId="4" borderId="6" xfId="20" applyNumberFormat="1" applyFont="1" applyFill="1" applyBorder="1" applyAlignment="1" applyProtection="1">
      <alignment horizontal="center" vertical="center" wrapText="1"/>
      <protection/>
    </xf>
    <xf numFmtId="49" fontId="71" fillId="4" borderId="6" xfId="20" applyNumberFormat="1" applyFont="1" applyFill="1" applyBorder="1" applyAlignment="1" applyProtection="1">
      <alignment vertical="center"/>
      <protection/>
    </xf>
    <xf numFmtId="49" fontId="70" fillId="4" borderId="6" xfId="20" applyNumberFormat="1" applyFont="1" applyFill="1" applyBorder="1" applyAlignment="1" applyProtection="1">
      <alignment horizontal="center" vertical="center"/>
      <protection/>
    </xf>
    <xf numFmtId="164" fontId="68" fillId="0" borderId="6" xfId="20" applyNumberFormat="1" applyFont="1" applyBorder="1" applyAlignment="1" applyProtection="1">
      <alignment horizontal="center" vertical="center"/>
      <protection/>
    </xf>
    <xf numFmtId="42" fontId="64" fillId="4" borderId="6" xfId="20" applyNumberFormat="1" applyFont="1" applyFill="1" applyBorder="1" applyAlignment="1" applyProtection="1">
      <alignment vertical="center"/>
      <protection locked="0"/>
    </xf>
    <xf numFmtId="42" fontId="72" fillId="4" borderId="7" xfId="20" applyNumberFormat="1" applyFont="1" applyFill="1" applyBorder="1" applyAlignment="1" applyProtection="1">
      <alignment vertical="center"/>
      <protection/>
    </xf>
    <xf numFmtId="0" fontId="70" fillId="4" borderId="8" xfId="20" applyFont="1" applyFill="1" applyBorder="1" applyAlignment="1" applyProtection="1">
      <alignment horizontal="center" vertical="center"/>
      <protection/>
    </xf>
    <xf numFmtId="49" fontId="70" fillId="4" borderId="9" xfId="20" applyNumberFormat="1" applyFont="1" applyFill="1" applyBorder="1" applyAlignment="1" applyProtection="1">
      <alignment horizontal="center" vertical="center" wrapText="1"/>
      <protection/>
    </xf>
    <xf numFmtId="49" fontId="71" fillId="4" borderId="9" xfId="20" applyNumberFormat="1" applyFont="1" applyFill="1" applyBorder="1" applyAlignment="1" applyProtection="1">
      <alignment vertical="center"/>
      <protection/>
    </xf>
    <xf numFmtId="49" fontId="70" fillId="4" borderId="9" xfId="20" applyNumberFormat="1" applyFont="1" applyFill="1" applyBorder="1" applyAlignment="1" applyProtection="1">
      <alignment horizontal="center" vertical="center"/>
      <protection/>
    </xf>
    <xf numFmtId="164" fontId="68" fillId="0" borderId="9" xfId="20" applyNumberFormat="1" applyFont="1" applyBorder="1" applyAlignment="1" applyProtection="1">
      <alignment horizontal="center" vertical="center"/>
      <protection/>
    </xf>
    <xf numFmtId="42" fontId="64" fillId="4" borderId="9" xfId="20" applyNumberFormat="1" applyFont="1" applyFill="1" applyBorder="1" applyAlignment="1" applyProtection="1">
      <alignment vertical="center"/>
      <protection locked="0"/>
    </xf>
    <xf numFmtId="168" fontId="72" fillId="4" borderId="10" xfId="20" applyNumberFormat="1" applyFont="1" applyFill="1" applyBorder="1" applyAlignment="1" applyProtection="1">
      <alignment vertical="center"/>
      <protection/>
    </xf>
    <xf numFmtId="0" fontId="68" fillId="0" borderId="11" xfId="0" applyFont="1" applyBorder="1" applyAlignment="1" applyProtection="1">
      <alignment vertical="center" wrapText="1"/>
      <protection/>
    </xf>
    <xf numFmtId="0" fontId="68" fillId="0" borderId="12" xfId="0" applyFont="1" applyBorder="1" applyAlignment="1" applyProtection="1">
      <alignment horizontal="center" vertical="center" wrapText="1"/>
      <protection/>
    </xf>
    <xf numFmtId="0" fontId="68" fillId="0" borderId="12" xfId="0" applyFont="1" applyBorder="1" applyAlignment="1" applyProtection="1">
      <alignment vertical="center" wrapText="1"/>
      <protection/>
    </xf>
    <xf numFmtId="0" fontId="64" fillId="0" borderId="12" xfId="0" applyFont="1" applyBorder="1" applyAlignment="1" applyProtection="1">
      <alignment vertical="center" wrapText="1"/>
      <protection locked="0"/>
    </xf>
    <xf numFmtId="0" fontId="64" fillId="0" borderId="13" xfId="0" applyFont="1" applyBorder="1" applyAlignment="1" applyProtection="1">
      <alignment vertical="center" wrapText="1"/>
      <protection/>
    </xf>
    <xf numFmtId="169" fontId="68" fillId="4" borderId="14" xfId="0" applyNumberFormat="1" applyFont="1" applyFill="1" applyBorder="1" applyAlignment="1" applyProtection="1">
      <alignment horizontal="center" vertical="center" wrapText="1"/>
      <protection/>
    </xf>
    <xf numFmtId="169" fontId="68" fillId="4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vertical="center" wrapText="1"/>
      <protection/>
    </xf>
    <xf numFmtId="49" fontId="64" fillId="4" borderId="15" xfId="21" applyNumberFormat="1" applyFont="1" applyFill="1" applyBorder="1" applyAlignment="1" applyProtection="1">
      <alignment horizontal="center" vertical="center"/>
      <protection/>
    </xf>
    <xf numFmtId="164" fontId="64" fillId="0" borderId="15" xfId="21" applyNumberFormat="1" applyFont="1" applyBorder="1" applyAlignment="1" applyProtection="1">
      <alignment horizontal="center" vertical="center" wrapText="1"/>
      <protection/>
    </xf>
    <xf numFmtId="42" fontId="64" fillId="4" borderId="15" xfId="22" applyNumberFormat="1" applyFont="1" applyFill="1" applyBorder="1" applyAlignment="1" applyProtection="1">
      <alignment vertical="center" wrapText="1"/>
      <protection locked="0"/>
    </xf>
    <xf numFmtId="168" fontId="64" fillId="4" borderId="16" xfId="22" applyNumberFormat="1" applyFont="1" applyFill="1" applyBorder="1" applyAlignment="1" applyProtection="1">
      <alignment vertical="center" wrapText="1"/>
      <protection/>
    </xf>
    <xf numFmtId="169" fontId="68" fillId="4" borderId="17" xfId="0" applyNumberFormat="1" applyFont="1" applyFill="1" applyBorder="1" applyAlignment="1" applyProtection="1">
      <alignment horizontal="center" vertical="center" wrapText="1"/>
      <protection/>
    </xf>
    <xf numFmtId="169" fontId="68" fillId="4" borderId="18" xfId="0" applyNumberFormat="1" applyFont="1" applyFill="1" applyBorder="1" applyAlignment="1" applyProtection="1">
      <alignment horizontal="center" vertical="center" wrapText="1"/>
      <protection/>
    </xf>
    <xf numFmtId="49" fontId="64" fillId="4" borderId="18" xfId="20" applyNumberFormat="1" applyFont="1" applyFill="1" applyBorder="1" applyAlignment="1" applyProtection="1">
      <alignment vertical="center" wrapText="1"/>
      <protection/>
    </xf>
    <xf numFmtId="49" fontId="64" fillId="4" borderId="18" xfId="21" applyNumberFormat="1" applyFont="1" applyFill="1" applyBorder="1" applyAlignment="1" applyProtection="1">
      <alignment horizontal="center" vertical="center"/>
      <protection/>
    </xf>
    <xf numFmtId="164" fontId="64" fillId="0" borderId="18" xfId="21" applyNumberFormat="1" applyFont="1" applyBorder="1" applyAlignment="1" applyProtection="1">
      <alignment horizontal="center" vertical="center" wrapText="1"/>
      <protection/>
    </xf>
    <xf numFmtId="42" fontId="64" fillId="4" borderId="18" xfId="22" applyNumberFormat="1" applyFont="1" applyFill="1" applyBorder="1" applyAlignment="1" applyProtection="1">
      <alignment vertical="center" wrapText="1"/>
      <protection locked="0"/>
    </xf>
    <xf numFmtId="42" fontId="64" fillId="4" borderId="19" xfId="22" applyNumberFormat="1" applyFont="1" applyFill="1" applyBorder="1" applyAlignment="1" applyProtection="1">
      <alignment vertical="center" wrapText="1"/>
      <protection/>
    </xf>
    <xf numFmtId="49" fontId="68" fillId="4" borderId="0" xfId="20" applyNumberFormat="1" applyFont="1" applyFill="1" applyAlignment="1" applyProtection="1">
      <alignment vertical="center" wrapText="1"/>
      <protection/>
    </xf>
    <xf numFmtId="49" fontId="68" fillId="4" borderId="0" xfId="21" applyNumberFormat="1" applyFont="1" applyFill="1" applyAlignment="1" applyProtection="1">
      <alignment horizontal="center" vertical="center"/>
      <protection/>
    </xf>
    <xf numFmtId="42" fontId="64" fillId="4" borderId="0" xfId="22" applyNumberFormat="1" applyFont="1" applyFill="1" applyAlignment="1" applyProtection="1">
      <alignment vertical="center" wrapText="1"/>
      <protection/>
    </xf>
    <xf numFmtId="49" fontId="68" fillId="0" borderId="15" xfId="0" applyNumberFormat="1" applyFont="1" applyBorder="1" applyAlignment="1" applyProtection="1">
      <alignment horizontal="center" vertical="center" wrapText="1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15" xfId="0" applyFont="1" applyBorder="1" applyAlignment="1" applyProtection="1">
      <alignment vertical="center" wrapText="1"/>
      <protection/>
    </xf>
    <xf numFmtId="42" fontId="64" fillId="0" borderId="15" xfId="0" applyNumberFormat="1" applyFont="1" applyBorder="1" applyAlignment="1" applyProtection="1">
      <alignment vertical="center" wrapText="1"/>
      <protection locked="0"/>
    </xf>
    <xf numFmtId="42" fontId="64" fillId="0" borderId="15" xfId="0" applyNumberFormat="1" applyFont="1" applyBorder="1" applyAlignment="1" applyProtection="1">
      <alignment vertical="center" wrapText="1"/>
      <protection/>
    </xf>
    <xf numFmtId="49" fontId="73" fillId="0" borderId="20" xfId="0" applyNumberFormat="1" applyFont="1" applyBorder="1" applyAlignment="1" applyProtection="1">
      <alignment horizontal="center" vertical="center" wrapText="1"/>
      <protection/>
    </xf>
    <xf numFmtId="0" fontId="73" fillId="0" borderId="21" xfId="0" applyFont="1" applyBorder="1" applyAlignment="1" applyProtection="1">
      <alignment horizontal="center" vertical="center" wrapText="1"/>
      <protection/>
    </xf>
    <xf numFmtId="0" fontId="73" fillId="0" borderId="22" xfId="0" applyFont="1" applyBorder="1" applyAlignment="1" applyProtection="1">
      <alignment horizontal="center" vertical="center" wrapText="1"/>
      <protection/>
    </xf>
    <xf numFmtId="42" fontId="73" fillId="0" borderId="22" xfId="0" applyNumberFormat="1" applyFont="1" applyBorder="1" applyAlignment="1" applyProtection="1">
      <alignment vertical="center" wrapText="1"/>
      <protection locked="0"/>
    </xf>
    <xf numFmtId="42" fontId="73" fillId="0" borderId="23" xfId="0" applyNumberFormat="1" applyFont="1" applyBorder="1" applyAlignment="1" applyProtection="1">
      <alignment horizontal="center" vertical="center" wrapText="1"/>
      <protection/>
    </xf>
    <xf numFmtId="0" fontId="71" fillId="5" borderId="24" xfId="0" applyFont="1" applyFill="1" applyBorder="1" applyAlignment="1" applyProtection="1">
      <alignment horizontal="center" vertical="center" wrapText="1"/>
      <protection/>
    </xf>
    <xf numFmtId="3" fontId="70" fillId="2" borderId="25" xfId="20" applyNumberFormat="1" applyFont="1" applyFill="1" applyBorder="1" applyAlignment="1" applyProtection="1">
      <alignment vertical="center" wrapText="1"/>
      <protection/>
    </xf>
    <xf numFmtId="3" fontId="70" fillId="2" borderId="26" xfId="20" applyNumberFormat="1" applyFont="1" applyFill="1" applyBorder="1" applyAlignment="1" applyProtection="1">
      <alignment horizontal="center" vertical="center" wrapText="1"/>
      <protection/>
    </xf>
    <xf numFmtId="3" fontId="72" fillId="2" borderId="26" xfId="20" applyNumberFormat="1" applyFont="1" applyFill="1" applyBorder="1" applyAlignment="1" applyProtection="1">
      <alignment vertical="center" wrapText="1"/>
      <protection locked="0"/>
    </xf>
    <xf numFmtId="42" fontId="72" fillId="2" borderId="27" xfId="20" applyNumberFormat="1" applyFont="1" applyFill="1" applyBorder="1" applyAlignment="1" applyProtection="1">
      <alignment vertical="center" wrapText="1"/>
      <protection/>
    </xf>
    <xf numFmtId="0" fontId="68" fillId="0" borderId="28" xfId="0" applyFont="1" applyBorder="1" applyAlignment="1" applyProtection="1">
      <alignment horizontal="center" vertical="center" wrapText="1"/>
      <protection/>
    </xf>
    <xf numFmtId="0" fontId="74" fillId="6" borderId="24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Border="1" applyAlignment="1" applyProtection="1">
      <alignment vertical="center" wrapText="1"/>
      <protection/>
    </xf>
    <xf numFmtId="42" fontId="64" fillId="0" borderId="12" xfId="0" applyNumberFormat="1" applyFont="1" applyBorder="1" applyAlignment="1" applyProtection="1">
      <alignment vertical="center" wrapText="1"/>
      <protection locked="0"/>
    </xf>
    <xf numFmtId="42" fontId="64" fillId="0" borderId="12" xfId="0" applyNumberFormat="1" applyFont="1" applyBorder="1" applyAlignment="1" applyProtection="1">
      <alignment vertical="center" wrapText="1"/>
      <protection/>
    </xf>
    <xf numFmtId="0" fontId="64" fillId="0" borderId="12" xfId="0" applyFont="1" applyBorder="1" applyAlignment="1" applyProtection="1">
      <alignment wrapText="1"/>
      <protection/>
    </xf>
    <xf numFmtId="0" fontId="68" fillId="0" borderId="29" xfId="0" applyFont="1" applyBorder="1" applyAlignment="1" applyProtection="1">
      <alignment horizontal="center" vertical="center" wrapText="1"/>
      <protection/>
    </xf>
    <xf numFmtId="168" fontId="64" fillId="0" borderId="12" xfId="0" applyNumberFormat="1" applyFont="1" applyBorder="1" applyAlignment="1" applyProtection="1">
      <alignment vertical="center" wrapText="1"/>
      <protection locked="0"/>
    </xf>
    <xf numFmtId="168" fontId="64" fillId="0" borderId="30" xfId="0" applyNumberFormat="1" applyFont="1" applyBorder="1" applyAlignment="1" applyProtection="1">
      <alignment vertical="center" wrapText="1"/>
      <protection/>
    </xf>
    <xf numFmtId="0" fontId="64" fillId="0" borderId="30" xfId="0" applyFont="1" applyBorder="1" applyAlignment="1" applyProtection="1">
      <alignment wrapText="1"/>
      <protection/>
    </xf>
    <xf numFmtId="0" fontId="64" fillId="0" borderId="12" xfId="0" applyFont="1" applyBorder="1" applyAlignment="1" applyProtection="1">
      <alignment horizontal="left" vertical="center" wrapText="1"/>
      <protection/>
    </xf>
    <xf numFmtId="0" fontId="68" fillId="0" borderId="30" xfId="0" applyFont="1" applyBorder="1" applyAlignment="1" applyProtection="1">
      <alignment horizontal="center" vertical="center" wrapText="1"/>
      <protection/>
    </xf>
    <xf numFmtId="0" fontId="64" fillId="0" borderId="30" xfId="0" applyFont="1" applyBorder="1" applyAlignment="1" applyProtection="1">
      <alignment horizontal="left" vertical="center" wrapText="1"/>
      <protection/>
    </xf>
    <xf numFmtId="168" fontId="64" fillId="0" borderId="30" xfId="0" applyNumberFormat="1" applyFont="1" applyBorder="1" applyAlignment="1" applyProtection="1">
      <alignment vertical="center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Protection="1">
      <protection locked="0"/>
    </xf>
    <xf numFmtId="49" fontId="21" fillId="0" borderId="1" xfId="0" applyNumberFormat="1" applyFont="1" applyBorder="1" applyAlignment="1" applyProtection="1">
      <alignment horizontal="left" vertical="center" wrapText="1"/>
      <protection/>
    </xf>
    <xf numFmtId="49" fontId="75" fillId="0" borderId="1" xfId="0" applyNumberFormat="1" applyFont="1" applyBorder="1" applyAlignment="1" applyProtection="1">
      <alignment horizontal="center" vertical="center" wrapText="1"/>
      <protection/>
    </xf>
    <xf numFmtId="4" fontId="21" fillId="0" borderId="1" xfId="0" applyNumberFormat="1" applyFont="1" applyBorder="1" applyAlignment="1" applyProtection="1">
      <alignment horizontal="center" vertical="center" wrapText="1"/>
      <protection/>
    </xf>
    <xf numFmtId="4" fontId="75" fillId="0" borderId="1" xfId="0" applyNumberFormat="1" applyFont="1" applyBorder="1" applyAlignment="1" applyProtection="1">
      <alignment horizontal="center" vertical="center" wrapText="1"/>
      <protection locked="0"/>
    </xf>
    <xf numFmtId="4" fontId="75" fillId="0" borderId="1" xfId="0" applyNumberFormat="1" applyFont="1" applyBorder="1" applyAlignment="1" applyProtection="1">
      <alignment horizontal="center" vertical="center" wrapText="1"/>
      <protection/>
    </xf>
    <xf numFmtId="4" fontId="21" fillId="0" borderId="1" xfId="0" applyNumberFormat="1" applyFont="1" applyBorder="1" applyAlignment="1" applyProtection="1">
      <alignment horizontal="right" vertical="center" wrapText="1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49" fontId="76" fillId="0" borderId="1" xfId="0" applyNumberFormat="1" applyFont="1" applyBorder="1" applyAlignment="1" applyProtection="1">
      <alignment horizontal="center" vertical="center" wrapText="1"/>
      <protection/>
    </xf>
    <xf numFmtId="4" fontId="77" fillId="0" borderId="1" xfId="0" applyNumberFormat="1" applyFont="1" applyBorder="1" applyAlignment="1" applyProtection="1">
      <alignment horizontal="center" vertical="center" wrapText="1"/>
      <protection/>
    </xf>
    <xf numFmtId="4" fontId="76" fillId="0" borderId="1" xfId="0" applyNumberFormat="1" applyFont="1" applyBorder="1" applyAlignment="1" applyProtection="1">
      <alignment horizontal="center" vertical="center" wrapText="1"/>
      <protection locked="0"/>
    </xf>
    <xf numFmtId="4" fontId="76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32" xfId="0" applyFont="1" applyBorder="1" applyProtection="1"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49" fontId="20" fillId="0" borderId="1" xfId="0" applyNumberFormat="1" applyFont="1" applyBorder="1" applyAlignment="1" applyProtection="1">
      <alignment horizontal="left" vertical="center" wrapText="1"/>
      <protection/>
    </xf>
    <xf numFmtId="49" fontId="11" fillId="0" borderId="1" xfId="0" applyNumberFormat="1" applyFont="1" applyBorder="1" applyAlignment="1" applyProtection="1">
      <alignment horizontal="center" vertical="center" wrapText="1"/>
      <protection/>
    </xf>
    <xf numFmtId="4" fontId="20" fillId="0" borderId="1" xfId="0" applyNumberFormat="1" applyFont="1" applyBorder="1" applyAlignment="1" applyProtection="1">
      <alignment horizontal="center" vertical="center" wrapText="1"/>
      <protection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/>
    </xf>
    <xf numFmtId="4" fontId="20" fillId="0" borderId="1" xfId="0" applyNumberFormat="1" applyFont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 applyProtection="1">
      <alignment horizontal="left" vertical="center" wrapText="1"/>
      <protection/>
    </xf>
    <xf numFmtId="49" fontId="78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left" vertical="center" wrapText="1"/>
      <protection/>
    </xf>
    <xf numFmtId="4" fontId="11" fillId="0" borderId="41" xfId="0" applyNumberFormat="1" applyFont="1" applyBorder="1" applyAlignment="1" applyProtection="1">
      <alignment horizontal="center" vertical="center" wrapText="1"/>
      <protection locked="0"/>
    </xf>
    <xf numFmtId="4" fontId="11" fillId="0" borderId="42" xfId="0" applyNumberFormat="1" applyFont="1" applyBorder="1" applyAlignment="1" applyProtection="1">
      <alignment horizontal="center" vertical="center" wrapText="1"/>
      <protection locked="0"/>
    </xf>
    <xf numFmtId="49" fontId="79" fillId="0" borderId="1" xfId="0" applyNumberFormat="1" applyFont="1" applyBorder="1" applyAlignment="1" applyProtection="1">
      <alignment horizontal="center" vertical="center" wrapText="1"/>
      <protection/>
    </xf>
    <xf numFmtId="4" fontId="78" fillId="0" borderId="1" xfId="0" applyNumberFormat="1" applyFont="1" applyBorder="1" applyAlignment="1" applyProtection="1">
      <alignment horizontal="center" vertical="center" wrapText="1"/>
      <protection/>
    </xf>
    <xf numFmtId="4" fontId="79" fillId="0" borderId="1" xfId="0" applyNumberFormat="1" applyFont="1" applyBorder="1" applyAlignment="1" applyProtection="1">
      <alignment horizontal="center" vertical="center" wrapText="1"/>
      <protection locked="0"/>
    </xf>
    <xf numFmtId="4" fontId="79" fillId="0" borderId="1" xfId="0" applyNumberFormat="1" applyFont="1" applyBorder="1" applyAlignment="1" applyProtection="1">
      <alignment horizontal="center" vertical="center" wrapText="1"/>
      <protection/>
    </xf>
    <xf numFmtId="49" fontId="80" fillId="0" borderId="1" xfId="0" applyNumberFormat="1" applyFont="1" applyBorder="1" applyAlignment="1" applyProtection="1">
      <alignment horizontal="left" vertical="center" wrapText="1"/>
      <protection/>
    </xf>
    <xf numFmtId="4" fontId="81" fillId="0" borderId="1" xfId="0" applyNumberFormat="1" applyFont="1" applyBorder="1" applyAlignment="1" applyProtection="1">
      <alignment horizontal="center" vertical="center" wrapText="1"/>
      <protection/>
    </xf>
    <xf numFmtId="49" fontId="80" fillId="0" borderId="0" xfId="0" applyNumberFormat="1" applyFont="1" applyAlignment="1" applyProtection="1">
      <alignment horizontal="left" vertical="center" wrapText="1"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center" vertical="center" wrapText="1"/>
      <protection/>
    </xf>
    <xf numFmtId="4" fontId="11" fillId="0" borderId="0" xfId="0" applyNumberFormat="1" applyFont="1" applyAlignment="1" applyProtection="1">
      <alignment horizontal="center" vertical="center" wrapText="1"/>
      <protection locked="0"/>
    </xf>
    <xf numFmtId="4" fontId="11" fillId="0" borderId="0" xfId="0" applyNumberFormat="1" applyFont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center" vertical="center" wrapText="1"/>
      <protection/>
    </xf>
    <xf numFmtId="49" fontId="20" fillId="0" borderId="43" xfId="0" applyNumberFormat="1" applyFont="1" applyBorder="1" applyAlignment="1" applyProtection="1">
      <alignment horizontal="left" vertical="center" wrapText="1"/>
      <protection/>
    </xf>
    <xf numFmtId="49" fontId="11" fillId="0" borderId="43" xfId="0" applyNumberFormat="1" applyFont="1" applyBorder="1" applyAlignment="1" applyProtection="1">
      <alignment horizontal="center" vertical="center" wrapText="1"/>
      <protection/>
    </xf>
    <xf numFmtId="4" fontId="20" fillId="0" borderId="43" xfId="0" applyNumberFormat="1" applyFont="1" applyBorder="1" applyAlignment="1" applyProtection="1">
      <alignment horizontal="center" vertical="center" wrapText="1"/>
      <protection/>
    </xf>
    <xf numFmtId="4" fontId="11" fillId="0" borderId="43" xfId="0" applyNumberFormat="1" applyFont="1" applyBorder="1" applyAlignment="1" applyProtection="1">
      <alignment horizontal="center" vertical="center" wrapText="1"/>
      <protection locked="0"/>
    </xf>
    <xf numFmtId="4" fontId="11" fillId="0" borderId="43" xfId="0" applyNumberFormat="1" applyFont="1" applyBorder="1" applyAlignment="1" applyProtection="1">
      <alignment horizontal="center" vertical="center" wrapText="1"/>
      <protection/>
    </xf>
    <xf numFmtId="4" fontId="20" fillId="0" borderId="43" xfId="0" applyNumberFormat="1" applyFont="1" applyBorder="1" applyAlignment="1" applyProtection="1">
      <alignment horizontal="center" vertical="center" wrapText="1"/>
      <protection/>
    </xf>
    <xf numFmtId="0" fontId="11" fillId="0" borderId="44" xfId="0" applyFont="1" applyBorder="1" applyProtection="1">
      <protection/>
    </xf>
    <xf numFmtId="0" fontId="11" fillId="0" borderId="45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164" fontId="12" fillId="0" borderId="0" xfId="0" applyNumberFormat="1" applyFont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right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164" fontId="23" fillId="0" borderId="1" xfId="0" applyNumberFormat="1" applyFont="1" applyFill="1" applyBorder="1" applyAlignment="1" applyProtection="1">
      <alignment horizontal="right" vertical="center" wrapText="1"/>
      <protection/>
    </xf>
    <xf numFmtId="164" fontId="54" fillId="0" borderId="0" xfId="0" applyNumberFormat="1" applyFont="1" applyAlignment="1" applyProtection="1">
      <alignment horizontal="right"/>
      <protection/>
    </xf>
    <xf numFmtId="164" fontId="55" fillId="0" borderId="0" xfId="0" applyNumberFormat="1" applyFont="1" applyFill="1" applyBorder="1" applyAlignment="1" applyProtection="1">
      <alignment horizontal="right"/>
      <protection/>
    </xf>
    <xf numFmtId="0" fontId="62" fillId="2" borderId="1" xfId="0" applyFont="1" applyFill="1" applyBorder="1" applyAlignment="1" applyProtection="1">
      <alignment horizontal="center" wrapText="1"/>
      <protection/>
    </xf>
    <xf numFmtId="0" fontId="63" fillId="0" borderId="3" xfId="0" applyFont="1" applyBorder="1" applyAlignment="1" applyProtection="1">
      <alignment horizontal="left"/>
      <protection/>
    </xf>
    <xf numFmtId="0" fontId="63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64" fillId="0" borderId="1" xfId="0" applyFont="1" applyBorder="1" applyAlignment="1" applyProtection="1">
      <alignment horizontal="center"/>
      <protection/>
    </xf>
    <xf numFmtId="0" fontId="64" fillId="0" borderId="1" xfId="0" applyFont="1" applyBorder="1" applyProtection="1">
      <protection/>
    </xf>
    <xf numFmtId="167" fontId="64" fillId="0" borderId="1" xfId="0" applyNumberFormat="1" applyFont="1" applyBorder="1" applyProtection="1">
      <protection/>
    </xf>
    <xf numFmtId="0" fontId="63" fillId="0" borderId="1" xfId="0" applyFont="1" applyBorder="1" applyAlignment="1" applyProtection="1">
      <alignment horizontal="right"/>
      <protection/>
    </xf>
    <xf numFmtId="0" fontId="63" fillId="0" borderId="1" xfId="0" applyFont="1" applyBorder="1" applyAlignment="1" applyProtection="1">
      <alignment horizontal="center"/>
      <protection/>
    </xf>
    <xf numFmtId="168" fontId="65" fillId="0" borderId="1" xfId="0" applyNumberFormat="1" applyFont="1" applyBorder="1" applyProtection="1">
      <protection/>
    </xf>
    <xf numFmtId="9" fontId="64" fillId="0" borderId="1" xfId="0" applyNumberFormat="1" applyFont="1" applyBorder="1" applyAlignment="1" applyProtection="1">
      <alignment horizontal="center"/>
      <protection/>
    </xf>
    <xf numFmtId="0" fontId="63" fillId="0" borderId="1" xfId="0" applyFont="1" applyBorder="1" applyProtection="1">
      <protection/>
    </xf>
    <xf numFmtId="0" fontId="63" fillId="0" borderId="1" xfId="0" applyFont="1" applyBorder="1" applyAlignment="1" applyProtection="1">
      <alignment horizontal="left"/>
      <protection/>
    </xf>
    <xf numFmtId="0" fontId="1" fillId="0" borderId="0" xfId="0" applyFont="1" applyProtection="1">
      <protection/>
    </xf>
    <xf numFmtId="0" fontId="63" fillId="0" borderId="0" xfId="0" applyFont="1" applyProtection="1">
      <protection/>
    </xf>
    <xf numFmtId="0" fontId="63" fillId="0" borderId="0" xfId="0" applyFont="1" applyAlignment="1" applyProtection="1">
      <alignment horizontal="right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8" fontId="65" fillId="0" borderId="0" xfId="0" applyNumberFormat="1" applyFont="1" applyProtection="1">
      <protection/>
    </xf>
    <xf numFmtId="0" fontId="1" fillId="0" borderId="0" xfId="0" applyFont="1" applyProtection="1">
      <protection/>
    </xf>
    <xf numFmtId="168" fontId="66" fillId="0" borderId="0" xfId="0" applyNumberFormat="1" applyFont="1" applyProtection="1">
      <protection/>
    </xf>
    <xf numFmtId="0" fontId="66" fillId="0" borderId="0" xfId="0" applyFont="1" applyProtection="1">
      <protection/>
    </xf>
    <xf numFmtId="0" fontId="64" fillId="0" borderId="0" xfId="0" applyFont="1" applyProtection="1">
      <protection/>
    </xf>
    <xf numFmtId="0" fontId="67" fillId="0" borderId="0" xfId="0" applyFont="1" applyAlignment="1" applyProtection="1">
      <alignment horizontal="left"/>
      <protection/>
    </xf>
    <xf numFmtId="168" fontId="67" fillId="3" borderId="0" xfId="0" applyNumberFormat="1" applyFont="1" applyFill="1" applyAlignment="1" applyProtection="1">
      <alignment horizontal="left"/>
      <protection/>
    </xf>
    <xf numFmtId="0" fontId="67" fillId="3" borderId="0" xfId="0" applyFont="1" applyFill="1" applyAlignment="1" applyProtection="1">
      <alignment horizontal="left"/>
      <protection/>
    </xf>
    <xf numFmtId="0" fontId="67" fillId="0" borderId="0" xfId="0" applyFont="1" applyAlignment="1" applyProtection="1">
      <alignment/>
      <protection/>
    </xf>
    <xf numFmtId="0" fontId="56" fillId="0" borderId="1" xfId="0" applyFont="1" applyBorder="1" applyProtection="1">
      <protection/>
    </xf>
    <xf numFmtId="0" fontId="75" fillId="0" borderId="1" xfId="0" applyFont="1" applyBorder="1" applyAlignment="1" applyProtection="1">
      <alignment horizontal="center" vertical="center" wrapText="1"/>
      <protection/>
    </xf>
    <xf numFmtId="2" fontId="82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85" fillId="0" borderId="0" xfId="0" applyFont="1" applyAlignment="1" applyProtection="1">
      <alignment horizontal="center" vertical="center" wrapText="1"/>
      <protection/>
    </xf>
    <xf numFmtId="0" fontId="63" fillId="2" borderId="46" xfId="0" applyFont="1" applyFill="1" applyBorder="1" applyAlignment="1" applyProtection="1">
      <alignment horizontal="left"/>
      <protection/>
    </xf>
    <xf numFmtId="0" fontId="63" fillId="2" borderId="47" xfId="0" applyFont="1" applyFill="1" applyBorder="1" applyAlignment="1" applyProtection="1">
      <alignment horizontal="left"/>
      <protection/>
    </xf>
    <xf numFmtId="0" fontId="0" fillId="0" borderId="47" xfId="0" applyBorder="1" applyProtection="1">
      <protection/>
    </xf>
    <xf numFmtId="0" fontId="86" fillId="0" borderId="1" xfId="23" applyFont="1" applyBorder="1" applyAlignment="1" applyProtection="1">
      <alignment vertical="center" wrapText="1"/>
      <protection/>
    </xf>
    <xf numFmtId="0" fontId="87" fillId="0" borderId="1" xfId="23" applyFont="1" applyBorder="1" applyAlignment="1" applyProtection="1">
      <alignment horizontal="center"/>
      <protection/>
    </xf>
    <xf numFmtId="168" fontId="64" fillId="0" borderId="1" xfId="23" applyNumberFormat="1" applyFont="1" applyBorder="1" applyAlignment="1" applyProtection="1">
      <alignment/>
      <protection locked="0"/>
    </xf>
    <xf numFmtId="0" fontId="87" fillId="0" borderId="1" xfId="23" applyFont="1" applyBorder="1" applyAlignment="1" applyProtection="1">
      <alignment horizontal="center" vertical="center"/>
      <protection/>
    </xf>
    <xf numFmtId="168" fontId="64" fillId="0" borderId="1" xfId="23" applyNumberFormat="1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164" fontId="49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3" fontId="53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center"/>
      <protection/>
    </xf>
    <xf numFmtId="4" fontId="53" fillId="0" borderId="0" xfId="0" applyNumberFormat="1" applyFont="1" applyFill="1" applyBorder="1" applyAlignment="1" applyProtection="1">
      <alignment horizontal="right"/>
      <protection/>
    </xf>
    <xf numFmtId="164" fontId="53" fillId="0" borderId="0" xfId="0" applyNumberFormat="1" applyFont="1" applyFill="1" applyBorder="1" applyProtection="1">
      <protection locked="0"/>
    </xf>
    <xf numFmtId="164" fontId="53" fillId="0" borderId="0" xfId="0" applyNumberFormat="1" applyFont="1" applyFill="1" applyBorder="1" applyAlignment="1" applyProtection="1">
      <alignment horizontal="right"/>
      <protection/>
    </xf>
    <xf numFmtId="165" fontId="53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center"/>
      <protection/>
    </xf>
    <xf numFmtId="164" fontId="53" fillId="0" borderId="0" xfId="0" applyNumberFormat="1" applyFont="1" applyBorder="1" applyAlignment="1" applyProtection="1">
      <alignment horizontal="right"/>
      <protection/>
    </xf>
    <xf numFmtId="164" fontId="53" fillId="0" borderId="0" xfId="0" applyNumberFormat="1" applyFont="1" applyBorder="1" applyProtection="1">
      <protection locked="0"/>
    </xf>
    <xf numFmtId="3" fontId="53" fillId="0" borderId="0" xfId="0" applyNumberFormat="1" applyFont="1" applyBorder="1" applyAlignment="1" applyProtection="1">
      <alignment horizontal="center"/>
      <protection/>
    </xf>
    <xf numFmtId="2" fontId="5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66" fontId="5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wrapText="1"/>
      <protection/>
    </xf>
    <xf numFmtId="165" fontId="53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53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 vertical="top" wrapText="1"/>
      <protection/>
    </xf>
    <xf numFmtId="170" fontId="53" fillId="0" borderId="0" xfId="0" applyNumberFormat="1" applyFont="1" applyBorder="1" applyAlignment="1" applyProtection="1">
      <alignment horizontal="right"/>
      <protection/>
    </xf>
    <xf numFmtId="164" fontId="9" fillId="0" borderId="0" xfId="0" applyNumberFormat="1" applyFont="1" applyBorder="1" applyProtection="1">
      <protection locked="0"/>
    </xf>
    <xf numFmtId="0" fontId="53" fillId="0" borderId="0" xfId="0" applyFont="1" applyBorder="1" applyAlignment="1" applyProtection="1">
      <alignment horizontal="left" vertical="center" wrapText="1"/>
      <protection/>
    </xf>
    <xf numFmtId="8" fontId="53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4" fontId="53" fillId="0" borderId="0" xfId="0" applyNumberFormat="1" applyFont="1" applyBorder="1" applyProtection="1">
      <protection locked="0"/>
    </xf>
    <xf numFmtId="49" fontId="49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right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center" vertical="center" wrapText="1"/>
      <protection/>
    </xf>
    <xf numFmtId="164" fontId="4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89" fillId="0" borderId="0" xfId="0" applyFont="1" applyFill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horizontal="left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164" fontId="89" fillId="0" borderId="0" xfId="0" applyNumberFormat="1" applyFont="1" applyFill="1" applyBorder="1" applyAlignment="1" applyProtection="1">
      <alignment horizontal="right"/>
      <protection/>
    </xf>
    <xf numFmtId="164" fontId="89" fillId="0" borderId="0" xfId="0" applyNumberFormat="1" applyFont="1" applyFill="1" applyBorder="1" applyProtection="1">
      <protection locked="0"/>
    </xf>
    <xf numFmtId="3" fontId="89" fillId="0" borderId="0" xfId="0" applyNumberFormat="1" applyFont="1" applyFill="1" applyBorder="1" applyProtection="1">
      <protection/>
    </xf>
    <xf numFmtId="2" fontId="90" fillId="0" borderId="0" xfId="0" applyNumberFormat="1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left" wrapText="1"/>
      <protection/>
    </xf>
    <xf numFmtId="0" fontId="90" fillId="0" borderId="0" xfId="0" applyFont="1" applyFill="1" applyBorder="1" applyAlignment="1" applyProtection="1">
      <alignment horizontal="center"/>
      <protection/>
    </xf>
    <xf numFmtId="164" fontId="90" fillId="0" borderId="0" xfId="0" applyNumberFormat="1" applyFont="1" applyFill="1" applyBorder="1" applyAlignment="1" applyProtection="1">
      <alignment horizontal="right"/>
      <protection/>
    </xf>
    <xf numFmtId="164" fontId="90" fillId="0" borderId="0" xfId="0" applyNumberFormat="1" applyFont="1" applyFill="1" applyBorder="1" applyProtection="1">
      <protection locked="0"/>
    </xf>
    <xf numFmtId="3" fontId="90" fillId="0" borderId="0" xfId="0" applyNumberFormat="1" applyFont="1" applyFill="1" applyBorder="1" applyProtection="1"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164" fontId="48" fillId="0" borderId="0" xfId="0" applyNumberFormat="1" applyFont="1" applyAlignment="1" applyProtection="1">
      <alignment horizontal="right"/>
      <protection/>
    </xf>
    <xf numFmtId="164" fontId="41" fillId="0" borderId="1" xfId="0" applyNumberFormat="1" applyFont="1" applyFill="1" applyBorder="1" applyAlignment="1" applyProtection="1">
      <alignment horizontal="right" vertical="center" wrapText="1"/>
      <protection/>
    </xf>
    <xf numFmtId="170" fontId="30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 wrapText="1"/>
      <protection/>
    </xf>
    <xf numFmtId="164" fontId="40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0" fontId="30" fillId="0" borderId="0" xfId="0" applyFont="1" applyAlignment="1" applyProtection="1">
      <alignment wrapText="1"/>
      <protection/>
    </xf>
    <xf numFmtId="164" fontId="30" fillId="0" borderId="0" xfId="0" applyNumberFormat="1" applyFont="1" applyAlignment="1" applyProtection="1">
      <alignment horizontal="right"/>
      <protection/>
    </xf>
    <xf numFmtId="0" fontId="42" fillId="0" borderId="0" xfId="0" applyFont="1" applyProtection="1">
      <protection/>
    </xf>
    <xf numFmtId="0" fontId="91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Styl 1" xfId="21"/>
    <cellStyle name="normální_RO42-3-P1,P3_T02" xfId="22"/>
    <cellStyle name="Normální 2 3" xfId="23"/>
  </cellStyles>
  <dxfs count="1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DF.PhD%20Infra\V&#352;E__OPJAK_VV_STAVBA(3101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mínky"/>
      <sheetName val="titllist"/>
      <sheetName val="VV CELKEM"/>
      <sheetName val="VV 1.NP NB "/>
      <sheetName val="VV EL silnoproud 1.NP NB"/>
      <sheetName val="VV EL slaboproud 1.NP NB"/>
      <sheetName val="VV ZTI 1.NP NB"/>
      <sheetName val="VV NB 153"/>
      <sheetName val="VV EL silnoproud NB 153"/>
      <sheetName val="VV EL slaboproud NB 153"/>
      <sheetName val="VV ZTI NB 153"/>
      <sheetName val="VV NB 177a"/>
      <sheetName val="VV EL silnoproud NB 177a"/>
      <sheetName val="VV EL slaboproud NB 177a"/>
      <sheetName val="VV NB 177b"/>
      <sheetName val="VV EL silnoproud NB 177b"/>
      <sheetName val="VV EL slaboproud NB 177b"/>
      <sheetName val="VV NB 225"/>
      <sheetName val="VV EL silnoproud NB 225"/>
      <sheetName val="VV EL slaboproud NB 225"/>
      <sheetName val="VV ZTI NB 225"/>
      <sheetName val="VV NB 260"/>
      <sheetName val="VV EL silnoproud NB 260"/>
      <sheetName val="VV EL slaboproud NB 260"/>
      <sheetName val="VV SB 126"/>
      <sheetName val="VV EL silnoproud SB 126"/>
      <sheetName val="VV EL slaboproud SB 126"/>
    </sheetNames>
    <sheetDataSet>
      <sheetData sheetId="0" refreshError="1"/>
      <sheetData sheetId="1" refreshError="1"/>
      <sheetData sheetId="2" refreshError="1"/>
      <sheetData sheetId="3">
        <row r="27">
          <cell r="G27">
            <v>0</v>
          </cell>
        </row>
      </sheetData>
      <sheetData sheetId="4">
        <row r="29">
          <cell r="C29">
            <v>0</v>
          </cell>
        </row>
      </sheetData>
      <sheetData sheetId="5">
        <row r="5">
          <cell r="G5">
            <v>0</v>
          </cell>
        </row>
      </sheetData>
      <sheetData sheetId="6">
        <row r="9">
          <cell r="K9">
            <v>0</v>
          </cell>
        </row>
      </sheetData>
      <sheetData sheetId="7">
        <row r="27">
          <cell r="G27">
            <v>0</v>
          </cell>
        </row>
      </sheetData>
      <sheetData sheetId="8">
        <row r="27">
          <cell r="C27">
            <v>0</v>
          </cell>
        </row>
      </sheetData>
      <sheetData sheetId="9">
        <row r="5">
          <cell r="G5">
            <v>0</v>
          </cell>
        </row>
      </sheetData>
      <sheetData sheetId="10">
        <row r="9">
          <cell r="K9">
            <v>0</v>
          </cell>
        </row>
      </sheetData>
      <sheetData sheetId="11">
        <row r="23">
          <cell r="G23">
            <v>0</v>
          </cell>
        </row>
      </sheetData>
      <sheetData sheetId="12">
        <row r="27">
          <cell r="C27">
            <v>0</v>
          </cell>
        </row>
      </sheetData>
      <sheetData sheetId="13">
        <row r="5">
          <cell r="G5">
            <v>0</v>
          </cell>
        </row>
      </sheetData>
      <sheetData sheetId="14">
        <row r="23">
          <cell r="G23">
            <v>0</v>
          </cell>
        </row>
      </sheetData>
      <sheetData sheetId="15">
        <row r="27">
          <cell r="C27">
            <v>0</v>
          </cell>
        </row>
      </sheetData>
      <sheetData sheetId="16">
        <row r="5">
          <cell r="G5">
            <v>0</v>
          </cell>
        </row>
      </sheetData>
      <sheetData sheetId="17">
        <row r="25">
          <cell r="G25">
            <v>0</v>
          </cell>
        </row>
      </sheetData>
      <sheetData sheetId="18">
        <row r="29">
          <cell r="C29">
            <v>0</v>
          </cell>
        </row>
      </sheetData>
      <sheetData sheetId="19">
        <row r="5">
          <cell r="G5">
            <v>0</v>
          </cell>
        </row>
      </sheetData>
      <sheetData sheetId="20">
        <row r="9">
          <cell r="K9">
            <v>0</v>
          </cell>
        </row>
      </sheetData>
      <sheetData sheetId="21">
        <row r="25">
          <cell r="G25">
            <v>0</v>
          </cell>
        </row>
      </sheetData>
      <sheetData sheetId="22">
        <row r="29">
          <cell r="C29">
            <v>0</v>
          </cell>
        </row>
      </sheetData>
      <sheetData sheetId="23">
        <row r="5">
          <cell r="G5">
            <v>0</v>
          </cell>
        </row>
      </sheetData>
      <sheetData sheetId="24">
        <row r="25">
          <cell r="G25">
            <v>0</v>
          </cell>
        </row>
      </sheetData>
      <sheetData sheetId="25">
        <row r="41">
          <cell r="C41">
            <v>0</v>
          </cell>
        </row>
      </sheetData>
      <sheetData sheetId="26">
        <row r="5">
          <cell r="G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D22" sqref="D22"/>
    </sheetView>
  </sheetViews>
  <sheetFormatPr defaultColWidth="9.140625" defaultRowHeight="15"/>
  <cols>
    <col min="1" max="1" width="82.421875" style="0" customWidth="1"/>
  </cols>
  <sheetData>
    <row r="1" ht="15">
      <c r="A1" s="1" t="s">
        <v>0</v>
      </c>
    </row>
    <row r="2" ht="39">
      <c r="A2" s="2" t="s">
        <v>1</v>
      </c>
    </row>
    <row r="3" ht="15">
      <c r="A3" s="1"/>
    </row>
    <row r="4" ht="15">
      <c r="A4" s="3" t="s">
        <v>2</v>
      </c>
    </row>
    <row r="5" ht="15">
      <c r="A5" s="3" t="s">
        <v>3</v>
      </c>
    </row>
    <row r="6" ht="24.75">
      <c r="A6" s="3" t="s">
        <v>4</v>
      </c>
    </row>
    <row r="7" ht="24.75">
      <c r="A7" s="3" t="s">
        <v>5</v>
      </c>
    </row>
    <row r="8" ht="48.75">
      <c r="A8" s="3" t="s">
        <v>6</v>
      </c>
    </row>
    <row r="9" ht="36.75">
      <c r="A9" s="3" t="s">
        <v>7</v>
      </c>
    </row>
    <row r="10" ht="36.75">
      <c r="A10" s="3" t="s">
        <v>8</v>
      </c>
    </row>
    <row r="11" ht="15">
      <c r="A11" s="3" t="s">
        <v>9</v>
      </c>
    </row>
    <row r="12" ht="24.75">
      <c r="A12" s="3" t="s">
        <v>10</v>
      </c>
    </row>
    <row r="13" ht="24.75">
      <c r="A13" s="3" t="s">
        <v>11</v>
      </c>
    </row>
    <row r="14" ht="15">
      <c r="A14" s="3" t="s">
        <v>12</v>
      </c>
    </row>
    <row r="15" ht="24.75">
      <c r="A15" s="3" t="s">
        <v>13</v>
      </c>
    </row>
    <row r="16" ht="15">
      <c r="A16" s="3" t="s">
        <v>14</v>
      </c>
    </row>
    <row r="17" ht="15">
      <c r="A17" s="3" t="s">
        <v>15</v>
      </c>
    </row>
    <row r="18" ht="24.75">
      <c r="A18" s="3" t="s">
        <v>16</v>
      </c>
    </row>
    <row r="19" ht="24.75">
      <c r="A19" s="3" t="s">
        <v>17</v>
      </c>
    </row>
    <row r="20" ht="36.75">
      <c r="A20" s="3" t="s">
        <v>18</v>
      </c>
    </row>
    <row r="21" ht="156.75">
      <c r="A21" s="3" t="s">
        <v>19</v>
      </c>
    </row>
    <row r="22" ht="108.75">
      <c r="A22" s="3" t="s">
        <v>20</v>
      </c>
    </row>
    <row r="23" ht="48.75">
      <c r="A23" s="3" t="s">
        <v>21</v>
      </c>
    </row>
    <row r="24" ht="72.75">
      <c r="A24" s="3" t="s">
        <v>22</v>
      </c>
    </row>
    <row r="25" ht="24.75">
      <c r="A25" s="4" t="s">
        <v>23</v>
      </c>
    </row>
    <row r="26" ht="120.75">
      <c r="A26" s="4" t="s">
        <v>24</v>
      </c>
    </row>
    <row r="27" ht="60.75">
      <c r="A27" s="4" t="s">
        <v>25</v>
      </c>
    </row>
    <row r="28" ht="24.75">
      <c r="A28" s="4" t="s">
        <v>26</v>
      </c>
    </row>
    <row r="29" ht="36.75">
      <c r="A29" s="4" t="s">
        <v>27</v>
      </c>
    </row>
    <row r="30" ht="60.75">
      <c r="A30" s="4" t="s">
        <v>28</v>
      </c>
    </row>
    <row r="31" ht="39">
      <c r="A31" s="5" t="s">
        <v>29</v>
      </c>
    </row>
    <row r="32" ht="15">
      <c r="A32" s="5" t="s">
        <v>30</v>
      </c>
    </row>
  </sheetData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J15" sqref="J15"/>
    </sheetView>
  </sheetViews>
  <sheetFormatPr defaultColWidth="9.140625" defaultRowHeight="15"/>
  <cols>
    <col min="1" max="1" width="4.57421875" style="0" customWidth="1"/>
    <col min="3" max="3" width="65.00390625" style="0" customWidth="1"/>
    <col min="4" max="4" width="12.28125" style="0" customWidth="1"/>
    <col min="5" max="5" width="13.421875" style="0" customWidth="1"/>
    <col min="6" max="6" width="14.140625" style="0" customWidth="1"/>
    <col min="7" max="7" width="17.1406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463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SUM(G12:G28)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26.2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464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1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1</v>
      </c>
      <c r="F13" s="402">
        <v>0</v>
      </c>
      <c r="G13" s="403">
        <f>F13*E13</f>
        <v>0</v>
      </c>
    </row>
    <row r="14" spans="1:7" ht="16.5">
      <c r="A14" s="359">
        <v>3</v>
      </c>
      <c r="B14" s="395"/>
      <c r="C14" s="404" t="s">
        <v>372</v>
      </c>
      <c r="D14" s="401" t="s">
        <v>127</v>
      </c>
      <c r="E14" s="359">
        <v>8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1830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490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320</v>
      </c>
      <c r="F19" s="408">
        <v>0</v>
      </c>
      <c r="G19" s="403">
        <f>F19*E19</f>
        <v>0</v>
      </c>
    </row>
    <row r="20" spans="1:7" ht="17.25" thickBot="1">
      <c r="A20" s="395"/>
      <c r="B20" s="409"/>
      <c r="C20" s="407"/>
      <c r="D20" s="401"/>
      <c r="E20" s="401"/>
      <c r="F20" s="408"/>
      <c r="G20" s="403"/>
    </row>
    <row r="21" spans="1:7" ht="17.25" thickBot="1">
      <c r="A21" s="359"/>
      <c r="B21" s="395"/>
      <c r="C21" s="396" t="s">
        <v>377</v>
      </c>
      <c r="D21" s="397"/>
      <c r="E21" s="359"/>
      <c r="F21" s="408"/>
      <c r="G21" s="403"/>
    </row>
    <row r="22" spans="1:7" ht="16.5">
      <c r="A22" s="395">
        <v>7</v>
      </c>
      <c r="B22" s="409"/>
      <c r="C22" s="407" t="s">
        <v>378</v>
      </c>
      <c r="D22" s="401" t="s">
        <v>180</v>
      </c>
      <c r="E22" s="401">
        <v>1</v>
      </c>
      <c r="F22" s="408">
        <v>0</v>
      </c>
      <c r="G22" s="403">
        <f aca="true" t="shared" si="0" ref="G22:G27">F22*E22</f>
        <v>0</v>
      </c>
    </row>
    <row r="23" spans="1:7" ht="16.5">
      <c r="A23" s="395">
        <v>8</v>
      </c>
      <c r="B23" s="409"/>
      <c r="C23" s="407" t="s">
        <v>379</v>
      </c>
      <c r="D23" s="401" t="s">
        <v>180</v>
      </c>
      <c r="E23" s="401">
        <v>1</v>
      </c>
      <c r="F23" s="408">
        <v>0</v>
      </c>
      <c r="G23" s="403">
        <f t="shared" si="0"/>
        <v>0</v>
      </c>
    </row>
    <row r="24" spans="1:7" ht="16.5">
      <c r="A24" s="395">
        <v>9</v>
      </c>
      <c r="B24" s="409"/>
      <c r="C24" s="407" t="s">
        <v>380</v>
      </c>
      <c r="D24" s="401" t="s">
        <v>381</v>
      </c>
      <c r="E24" s="401">
        <v>35</v>
      </c>
      <c r="F24" s="408">
        <v>0</v>
      </c>
      <c r="G24" s="403">
        <f t="shared" si="0"/>
        <v>0</v>
      </c>
    </row>
    <row r="25" spans="1:7" ht="16.5">
      <c r="A25" s="395">
        <v>10</v>
      </c>
      <c r="B25" s="409"/>
      <c r="C25" s="407" t="s">
        <v>382</v>
      </c>
      <c r="D25" s="401" t="s">
        <v>127</v>
      </c>
      <c r="E25" s="401">
        <f>E14*6</f>
        <v>48</v>
      </c>
      <c r="F25" s="408">
        <v>0</v>
      </c>
      <c r="G25" s="403">
        <f t="shared" si="0"/>
        <v>0</v>
      </c>
    </row>
    <row r="26" spans="1:7" ht="16.5">
      <c r="A26" s="395">
        <v>11</v>
      </c>
      <c r="B26" s="409"/>
      <c r="C26" s="407" t="s">
        <v>383</v>
      </c>
      <c r="D26" s="401" t="s">
        <v>127</v>
      </c>
      <c r="E26" s="401">
        <f>E25</f>
        <v>48</v>
      </c>
      <c r="F26" s="408">
        <v>0</v>
      </c>
      <c r="G26" s="403">
        <f t="shared" si="0"/>
        <v>0</v>
      </c>
    </row>
    <row r="27" spans="1:7" ht="16.5">
      <c r="A27" s="395">
        <v>12</v>
      </c>
      <c r="B27" s="409"/>
      <c r="C27" s="407" t="s">
        <v>384</v>
      </c>
      <c r="D27" s="401" t="s">
        <v>180</v>
      </c>
      <c r="E27" s="401">
        <v>1</v>
      </c>
      <c r="F27" s="408">
        <v>0</v>
      </c>
      <c r="G27" s="403">
        <f t="shared" si="0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 topLeftCell="A1">
      <selection activeCell="O25" sqref="O25"/>
    </sheetView>
  </sheetViews>
  <sheetFormatPr defaultColWidth="9.140625" defaultRowHeight="15"/>
  <cols>
    <col min="1" max="1" width="4.28125" style="0" customWidth="1"/>
    <col min="2" max="2" width="61.28125" style="0" customWidth="1"/>
  </cols>
  <sheetData>
    <row r="1" spans="1:11" ht="15.75">
      <c r="A1" s="510"/>
      <c r="B1" s="412" t="s">
        <v>385</v>
      </c>
      <c r="C1" s="413"/>
      <c r="D1" s="413"/>
      <c r="E1" s="414"/>
      <c r="F1" s="415"/>
      <c r="G1" s="415"/>
      <c r="H1" s="416"/>
      <c r="I1" s="416"/>
      <c r="J1" s="416"/>
      <c r="K1" s="417">
        <f>SUM(K13)</f>
        <v>0</v>
      </c>
    </row>
    <row r="2" spans="1:11" ht="15.75">
      <c r="A2" s="511"/>
      <c r="B2" s="412" t="s">
        <v>386</v>
      </c>
      <c r="C2" s="413"/>
      <c r="D2" s="413"/>
      <c r="E2" s="414"/>
      <c r="F2" s="415"/>
      <c r="G2" s="415"/>
      <c r="H2" s="416"/>
      <c r="I2" s="416"/>
      <c r="J2" s="416"/>
      <c r="K2" s="417">
        <f>SUM(K28)</f>
        <v>0</v>
      </c>
    </row>
    <row r="3" spans="1:11" ht="15.75">
      <c r="A3" s="511"/>
      <c r="B3" s="412" t="s">
        <v>387</v>
      </c>
      <c r="C3" s="413"/>
      <c r="D3" s="413"/>
      <c r="E3" s="414"/>
      <c r="F3" s="415"/>
      <c r="G3" s="415"/>
      <c r="H3" s="416"/>
      <c r="I3" s="416"/>
      <c r="J3" s="416"/>
      <c r="K3" s="417">
        <f>SUM(K40)</f>
        <v>0</v>
      </c>
    </row>
    <row r="4" spans="1:11" ht="15.75">
      <c r="A4" s="511"/>
      <c r="B4" s="412" t="s">
        <v>388</v>
      </c>
      <c r="C4" s="413"/>
      <c r="D4" s="413"/>
      <c r="E4" s="414"/>
      <c r="F4" s="415"/>
      <c r="G4" s="415"/>
      <c r="H4" s="416"/>
      <c r="I4" s="416"/>
      <c r="J4" s="416"/>
      <c r="K4" s="417">
        <f>SUM(K56)</f>
        <v>0</v>
      </c>
    </row>
    <row r="5" spans="1:11" ht="15.75">
      <c r="A5" s="511"/>
      <c r="B5" s="418" t="s">
        <v>389</v>
      </c>
      <c r="C5" s="419"/>
      <c r="D5" s="419"/>
      <c r="E5" s="420"/>
      <c r="F5" s="421"/>
      <c r="G5" s="421"/>
      <c r="H5" s="422"/>
      <c r="I5" s="422"/>
      <c r="J5" s="422"/>
      <c r="K5" s="417">
        <f>SUM(K64)</f>
        <v>0</v>
      </c>
    </row>
    <row r="6" spans="1:11" ht="15.75">
      <c r="A6" s="511"/>
      <c r="B6" s="412" t="s">
        <v>390</v>
      </c>
      <c r="C6" s="419"/>
      <c r="D6" s="419"/>
      <c r="E6" s="420"/>
      <c r="F6" s="421"/>
      <c r="G6" s="421"/>
      <c r="H6" s="422"/>
      <c r="I6" s="422"/>
      <c r="J6" s="422"/>
      <c r="K6" s="417">
        <f>SUM(K1:K5)</f>
        <v>0</v>
      </c>
    </row>
    <row r="7" spans="1:11" ht="15.75">
      <c r="A7" s="511"/>
      <c r="B7" s="412"/>
      <c r="C7" s="419"/>
      <c r="D7" s="419"/>
      <c r="E7" s="420"/>
      <c r="F7" s="421"/>
      <c r="G7" s="421"/>
      <c r="H7" s="422"/>
      <c r="I7" s="422"/>
      <c r="J7" s="422"/>
      <c r="K7" s="417"/>
    </row>
    <row r="8" spans="1:11" ht="15.75">
      <c r="A8" s="511"/>
      <c r="B8" s="412" t="s">
        <v>391</v>
      </c>
      <c r="C8" s="419"/>
      <c r="D8" s="419"/>
      <c r="E8" s="420"/>
      <c r="F8" s="421"/>
      <c r="G8" s="421"/>
      <c r="H8" s="422"/>
      <c r="I8" s="422"/>
      <c r="J8" s="422"/>
      <c r="K8" s="417">
        <f>SUM(K6:K7)</f>
        <v>0</v>
      </c>
    </row>
    <row r="9" spans="1:11" ht="15">
      <c r="A9" s="410"/>
      <c r="B9" s="410"/>
      <c r="C9" s="410"/>
      <c r="D9" s="410"/>
      <c r="E9" s="410"/>
      <c r="F9" s="411"/>
      <c r="G9" s="411"/>
      <c r="H9" s="410"/>
      <c r="I9" s="410"/>
      <c r="J9" s="410"/>
      <c r="K9" s="410"/>
    </row>
    <row r="10" spans="1:11" ht="15.75" thickBot="1">
      <c r="A10" s="410"/>
      <c r="B10" s="410"/>
      <c r="C10" s="410"/>
      <c r="D10" s="410"/>
      <c r="E10" s="410"/>
      <c r="F10" s="411"/>
      <c r="G10" s="411"/>
      <c r="H10" s="410"/>
      <c r="I10" s="410"/>
      <c r="J10" s="410"/>
      <c r="K10" s="410"/>
    </row>
    <row r="11" spans="1:11" ht="15.75" thickBot="1">
      <c r="A11" s="470"/>
      <c r="B11" s="423"/>
      <c r="C11" s="424"/>
      <c r="D11" s="424"/>
      <c r="E11" s="425"/>
      <c r="F11" s="426" t="s">
        <v>392</v>
      </c>
      <c r="G11" s="427" t="s">
        <v>392</v>
      </c>
      <c r="H11" s="428" t="s">
        <v>392</v>
      </c>
      <c r="I11" s="429" t="s">
        <v>393</v>
      </c>
      <c r="J11" s="430" t="s">
        <v>393</v>
      </c>
      <c r="K11" s="428" t="s">
        <v>393</v>
      </c>
    </row>
    <row r="12" spans="1:11" ht="24.75" thickBot="1">
      <c r="A12" s="471"/>
      <c r="B12" s="431" t="s">
        <v>394</v>
      </c>
      <c r="C12" s="432" t="s">
        <v>395</v>
      </c>
      <c r="D12" s="432" t="s">
        <v>396</v>
      </c>
      <c r="E12" s="433" t="s">
        <v>397</v>
      </c>
      <c r="F12" s="434" t="s">
        <v>398</v>
      </c>
      <c r="G12" s="435" t="s">
        <v>399</v>
      </c>
      <c r="H12" s="436" t="s">
        <v>400</v>
      </c>
      <c r="I12" s="437" t="s">
        <v>401</v>
      </c>
      <c r="J12" s="438" t="s">
        <v>402</v>
      </c>
      <c r="K12" s="436" t="s">
        <v>403</v>
      </c>
    </row>
    <row r="13" spans="1:11" ht="15">
      <c r="A13" s="472"/>
      <c r="B13" s="439" t="s">
        <v>385</v>
      </c>
      <c r="C13" s="440"/>
      <c r="D13" s="440"/>
      <c r="E13" s="441"/>
      <c r="F13" s="442"/>
      <c r="G13" s="442"/>
      <c r="H13" s="443"/>
      <c r="I13" s="443"/>
      <c r="J13" s="443"/>
      <c r="K13" s="444">
        <f>SUM(K26)</f>
        <v>0</v>
      </c>
    </row>
    <row r="14" spans="1:11" ht="15">
      <c r="A14" s="472"/>
      <c r="B14" s="445" t="s">
        <v>404</v>
      </c>
      <c r="C14" s="440"/>
      <c r="D14" s="440"/>
      <c r="E14" s="441"/>
      <c r="F14" s="442"/>
      <c r="G14" s="442"/>
      <c r="H14" s="443"/>
      <c r="I14" s="443"/>
      <c r="J14" s="443"/>
      <c r="K14" s="443"/>
    </row>
    <row r="15" spans="1:11" ht="15">
      <c r="A15" s="472"/>
      <c r="B15" s="445" t="s">
        <v>405</v>
      </c>
      <c r="C15" s="440"/>
      <c r="D15" s="440" t="s">
        <v>339</v>
      </c>
      <c r="E15" s="441">
        <v>5</v>
      </c>
      <c r="F15" s="442"/>
      <c r="G15" s="442">
        <v>0</v>
      </c>
      <c r="H15" s="443">
        <f>SUM(F15+G15)</f>
        <v>0</v>
      </c>
      <c r="I15" s="443">
        <f aca="true" t="shared" si="0" ref="I15:I23">SUM(F15*E15)</f>
        <v>0</v>
      </c>
      <c r="J15" s="443">
        <f aca="true" t="shared" si="1" ref="J15:J23">SUM(G15*E15)</f>
        <v>0</v>
      </c>
      <c r="K15" s="443">
        <f aca="true" t="shared" si="2" ref="K15:K23">SUM(I15+J15)</f>
        <v>0</v>
      </c>
    </row>
    <row r="16" spans="1:11" ht="15">
      <c r="A16" s="472"/>
      <c r="B16" s="445" t="s">
        <v>406</v>
      </c>
      <c r="C16" s="440"/>
      <c r="D16" s="440"/>
      <c r="E16" s="441"/>
      <c r="F16" s="442"/>
      <c r="G16" s="442"/>
      <c r="H16" s="443"/>
      <c r="I16" s="443"/>
      <c r="J16" s="443"/>
      <c r="K16" s="443"/>
    </row>
    <row r="17" spans="1:11" ht="15">
      <c r="A17" s="472"/>
      <c r="B17" s="445" t="s">
        <v>407</v>
      </c>
      <c r="C17" s="440"/>
      <c r="D17" s="440" t="s">
        <v>339</v>
      </c>
      <c r="E17" s="441">
        <v>3</v>
      </c>
      <c r="F17" s="442"/>
      <c r="G17" s="442">
        <v>0</v>
      </c>
      <c r="H17" s="443">
        <f aca="true" t="shared" si="3" ref="H17:H23">SUM(F17+G17)</f>
        <v>0</v>
      </c>
      <c r="I17" s="443">
        <f>SUM(F17*E17)</f>
        <v>0</v>
      </c>
      <c r="J17" s="443">
        <f>SUM(G17*E17)</f>
        <v>0</v>
      </c>
      <c r="K17" s="443">
        <f>SUM(I17+J17)</f>
        <v>0</v>
      </c>
    </row>
    <row r="18" spans="1:11" ht="15">
      <c r="A18" s="472"/>
      <c r="B18" s="445" t="s">
        <v>410</v>
      </c>
      <c r="C18" s="440"/>
      <c r="D18" s="440" t="s">
        <v>339</v>
      </c>
      <c r="E18" s="441">
        <f>SUM(E15:E15)</f>
        <v>5</v>
      </c>
      <c r="F18" s="442"/>
      <c r="G18" s="442">
        <v>0</v>
      </c>
      <c r="H18" s="443">
        <f t="shared" si="3"/>
        <v>0</v>
      </c>
      <c r="I18" s="443">
        <f t="shared" si="0"/>
        <v>0</v>
      </c>
      <c r="J18" s="443">
        <f t="shared" si="1"/>
        <v>0</v>
      </c>
      <c r="K18" s="443">
        <f t="shared" si="2"/>
        <v>0</v>
      </c>
    </row>
    <row r="19" spans="1:11" ht="15">
      <c r="A19" s="472"/>
      <c r="B19" s="445" t="s">
        <v>412</v>
      </c>
      <c r="C19" s="440"/>
      <c r="D19" s="440" t="s">
        <v>127</v>
      </c>
      <c r="E19" s="441">
        <v>1</v>
      </c>
      <c r="F19" s="442"/>
      <c r="G19" s="442">
        <v>0</v>
      </c>
      <c r="H19" s="443">
        <f t="shared" si="3"/>
        <v>0</v>
      </c>
      <c r="I19" s="443">
        <f t="shared" si="0"/>
        <v>0</v>
      </c>
      <c r="J19" s="443">
        <f t="shared" si="1"/>
        <v>0</v>
      </c>
      <c r="K19" s="443">
        <f t="shared" si="2"/>
        <v>0</v>
      </c>
    </row>
    <row r="20" spans="1:11" ht="15">
      <c r="A20" s="472"/>
      <c r="B20" s="445" t="s">
        <v>413</v>
      </c>
      <c r="C20" s="440"/>
      <c r="D20" s="440" t="s">
        <v>127</v>
      </c>
      <c r="E20" s="441">
        <v>1</v>
      </c>
      <c r="F20" s="442"/>
      <c r="G20" s="442">
        <v>0</v>
      </c>
      <c r="H20" s="443">
        <f t="shared" si="3"/>
        <v>0</v>
      </c>
      <c r="I20" s="443">
        <f t="shared" si="0"/>
        <v>0</v>
      </c>
      <c r="J20" s="443">
        <f t="shared" si="1"/>
        <v>0</v>
      </c>
      <c r="K20" s="443">
        <f t="shared" si="2"/>
        <v>0</v>
      </c>
    </row>
    <row r="21" spans="1:11" ht="15">
      <c r="A21" s="472"/>
      <c r="B21" s="445" t="s">
        <v>414</v>
      </c>
      <c r="C21" s="440"/>
      <c r="D21" s="440" t="s">
        <v>127</v>
      </c>
      <c r="E21" s="441">
        <v>1</v>
      </c>
      <c r="F21" s="442"/>
      <c r="G21" s="442">
        <v>0</v>
      </c>
      <c r="H21" s="443">
        <f t="shared" si="3"/>
        <v>0</v>
      </c>
      <c r="I21" s="443">
        <f t="shared" si="0"/>
        <v>0</v>
      </c>
      <c r="J21" s="443">
        <f t="shared" si="1"/>
        <v>0</v>
      </c>
      <c r="K21" s="443">
        <f t="shared" si="2"/>
        <v>0</v>
      </c>
    </row>
    <row r="22" spans="1:11" ht="15">
      <c r="A22" s="472"/>
      <c r="B22" s="445" t="s">
        <v>415</v>
      </c>
      <c r="C22" s="440"/>
      <c r="D22" s="440" t="s">
        <v>127</v>
      </c>
      <c r="E22" s="441">
        <v>1</v>
      </c>
      <c r="F22" s="442"/>
      <c r="G22" s="442">
        <v>0</v>
      </c>
      <c r="H22" s="443">
        <f t="shared" si="3"/>
        <v>0</v>
      </c>
      <c r="I22" s="443">
        <f t="shared" si="0"/>
        <v>0</v>
      </c>
      <c r="J22" s="443">
        <f t="shared" si="1"/>
        <v>0</v>
      </c>
      <c r="K22" s="443">
        <f t="shared" si="2"/>
        <v>0</v>
      </c>
    </row>
    <row r="23" spans="1:11" ht="15">
      <c r="A23" s="472"/>
      <c r="B23" s="445" t="s">
        <v>416</v>
      </c>
      <c r="C23" s="440"/>
      <c r="D23" s="440" t="s">
        <v>127</v>
      </c>
      <c r="E23" s="441">
        <v>1</v>
      </c>
      <c r="F23" s="442"/>
      <c r="G23" s="442">
        <v>0</v>
      </c>
      <c r="H23" s="443">
        <f t="shared" si="3"/>
        <v>0</v>
      </c>
      <c r="I23" s="443">
        <f t="shared" si="0"/>
        <v>0</v>
      </c>
      <c r="J23" s="443">
        <f t="shared" si="1"/>
        <v>0</v>
      </c>
      <c r="K23" s="443">
        <f t="shared" si="2"/>
        <v>0</v>
      </c>
    </row>
    <row r="24" spans="1:11" ht="15">
      <c r="A24" s="472"/>
      <c r="B24" s="439" t="s">
        <v>390</v>
      </c>
      <c r="C24" s="440"/>
      <c r="D24" s="440"/>
      <c r="E24" s="441"/>
      <c r="F24" s="442"/>
      <c r="G24" s="442"/>
      <c r="H24" s="443"/>
      <c r="I24" s="443"/>
      <c r="J24" s="443"/>
      <c r="K24" s="444">
        <f>SUM(K15:K18)</f>
        <v>0</v>
      </c>
    </row>
    <row r="25" spans="1:11" ht="15">
      <c r="A25" s="472"/>
      <c r="B25" s="439" t="s">
        <v>417</v>
      </c>
      <c r="C25" s="440"/>
      <c r="D25" s="440" t="s">
        <v>418</v>
      </c>
      <c r="E25" s="441">
        <v>1</v>
      </c>
      <c r="F25" s="442"/>
      <c r="G25" s="442"/>
      <c r="H25" s="443"/>
      <c r="I25" s="443"/>
      <c r="J25" s="443"/>
      <c r="K25" s="444">
        <f>SUM(K24)*0.035</f>
        <v>0</v>
      </c>
    </row>
    <row r="26" spans="1:11" ht="15">
      <c r="A26" s="472"/>
      <c r="B26" s="446" t="s">
        <v>419</v>
      </c>
      <c r="C26" s="440"/>
      <c r="D26" s="440"/>
      <c r="E26" s="441"/>
      <c r="F26" s="442"/>
      <c r="G26" s="442"/>
      <c r="H26" s="443"/>
      <c r="I26" s="443"/>
      <c r="J26" s="443"/>
      <c r="K26" s="444">
        <f>SUM(K24:K25)</f>
        <v>0</v>
      </c>
    </row>
    <row r="27" spans="1:11" ht="15">
      <c r="A27" s="447"/>
      <c r="B27" s="447"/>
      <c r="C27" s="447"/>
      <c r="D27" s="447"/>
      <c r="E27" s="447"/>
      <c r="F27" s="448"/>
      <c r="G27" s="448"/>
      <c r="H27" s="447"/>
      <c r="I27" s="447"/>
      <c r="J27" s="447"/>
      <c r="K27" s="447"/>
    </row>
    <row r="28" spans="1:11" ht="15">
      <c r="A28" s="472"/>
      <c r="B28" s="439" t="s">
        <v>420</v>
      </c>
      <c r="C28" s="440"/>
      <c r="D28" s="440"/>
      <c r="E28" s="441"/>
      <c r="F28" s="442"/>
      <c r="G28" s="442"/>
      <c r="H28" s="443"/>
      <c r="I28" s="443"/>
      <c r="J28" s="443"/>
      <c r="K28" s="444">
        <f>SUM(K38)</f>
        <v>0</v>
      </c>
    </row>
    <row r="29" spans="1:11" ht="15">
      <c r="A29" s="472"/>
      <c r="B29" s="445" t="s">
        <v>421</v>
      </c>
      <c r="C29" s="440"/>
      <c r="D29" s="440" t="s">
        <v>339</v>
      </c>
      <c r="E29" s="441"/>
      <c r="F29" s="442"/>
      <c r="G29" s="442"/>
      <c r="H29" s="443"/>
      <c r="I29" s="443"/>
      <c r="J29" s="443"/>
      <c r="K29" s="443"/>
    </row>
    <row r="30" spans="1:11" ht="15">
      <c r="A30" s="472"/>
      <c r="B30" s="449" t="s">
        <v>422</v>
      </c>
      <c r="C30" s="440" t="s">
        <v>400</v>
      </c>
      <c r="D30" s="440" t="s">
        <v>339</v>
      </c>
      <c r="E30" s="441">
        <v>3</v>
      </c>
      <c r="F30" s="450">
        <v>0</v>
      </c>
      <c r="G30" s="442">
        <v>0</v>
      </c>
      <c r="H30" s="443">
        <f aca="true" t="shared" si="4" ref="H30:H35">SUM(F30+G30)</f>
        <v>0</v>
      </c>
      <c r="I30" s="443">
        <f aca="true" t="shared" si="5" ref="I30:I35">SUM(F30*E30)</f>
        <v>0</v>
      </c>
      <c r="J30" s="443">
        <f aca="true" t="shared" si="6" ref="J30:J35">SUM(G30*E30)</f>
        <v>0</v>
      </c>
      <c r="K30" s="443">
        <f aca="true" t="shared" si="7" ref="K30:K35">SUM(I30+J30)</f>
        <v>0</v>
      </c>
    </row>
    <row r="31" spans="1:11" ht="15">
      <c r="A31" s="472"/>
      <c r="B31" s="445" t="s">
        <v>425</v>
      </c>
      <c r="C31" s="440" t="s">
        <v>400</v>
      </c>
      <c r="D31" s="440" t="s">
        <v>180</v>
      </c>
      <c r="E31" s="441">
        <v>1</v>
      </c>
      <c r="F31" s="450">
        <v>0</v>
      </c>
      <c r="G31" s="442">
        <v>0</v>
      </c>
      <c r="H31" s="443">
        <f t="shared" si="4"/>
        <v>0</v>
      </c>
      <c r="I31" s="443">
        <f t="shared" si="5"/>
        <v>0</v>
      </c>
      <c r="J31" s="443">
        <f t="shared" si="6"/>
        <v>0</v>
      </c>
      <c r="K31" s="443">
        <f t="shared" si="7"/>
        <v>0</v>
      </c>
    </row>
    <row r="32" spans="1:11" ht="15">
      <c r="A32" s="472"/>
      <c r="B32" s="445" t="s">
        <v>426</v>
      </c>
      <c r="C32" s="440" t="s">
        <v>400</v>
      </c>
      <c r="D32" s="440" t="s">
        <v>180</v>
      </c>
      <c r="E32" s="441">
        <v>1</v>
      </c>
      <c r="F32" s="451">
        <v>0</v>
      </c>
      <c r="G32" s="442">
        <v>0</v>
      </c>
      <c r="H32" s="443">
        <f t="shared" si="4"/>
        <v>0</v>
      </c>
      <c r="I32" s="443">
        <f t="shared" si="5"/>
        <v>0</v>
      </c>
      <c r="J32" s="443">
        <f t="shared" si="6"/>
        <v>0</v>
      </c>
      <c r="K32" s="443">
        <f t="shared" si="7"/>
        <v>0</v>
      </c>
    </row>
    <row r="33" spans="1:11" ht="15">
      <c r="A33" s="472"/>
      <c r="B33" s="445" t="s">
        <v>427</v>
      </c>
      <c r="C33" s="440" t="s">
        <v>400</v>
      </c>
      <c r="D33" s="440" t="s">
        <v>428</v>
      </c>
      <c r="E33" s="441">
        <v>2</v>
      </c>
      <c r="F33" s="451">
        <v>0</v>
      </c>
      <c r="G33" s="442">
        <v>0</v>
      </c>
      <c r="H33" s="443">
        <f t="shared" si="4"/>
        <v>0</v>
      </c>
      <c r="I33" s="443">
        <f t="shared" si="5"/>
        <v>0</v>
      </c>
      <c r="J33" s="443">
        <f t="shared" si="6"/>
        <v>0</v>
      </c>
      <c r="K33" s="443">
        <f t="shared" si="7"/>
        <v>0</v>
      </c>
    </row>
    <row r="34" spans="1:11" ht="15">
      <c r="A34" s="472"/>
      <c r="B34" s="445" t="s">
        <v>429</v>
      </c>
      <c r="C34" s="440"/>
      <c r="D34" s="440" t="s">
        <v>339</v>
      </c>
      <c r="E34" s="441">
        <f>SUM(E30:E30)</f>
        <v>3</v>
      </c>
      <c r="F34" s="442">
        <v>0</v>
      </c>
      <c r="G34" s="442">
        <v>0</v>
      </c>
      <c r="H34" s="443">
        <f t="shared" si="4"/>
        <v>0</v>
      </c>
      <c r="I34" s="443">
        <f t="shared" si="5"/>
        <v>0</v>
      </c>
      <c r="J34" s="443">
        <f t="shared" si="6"/>
        <v>0</v>
      </c>
      <c r="K34" s="443">
        <f t="shared" si="7"/>
        <v>0</v>
      </c>
    </row>
    <row r="35" spans="1:11" ht="15">
      <c r="A35" s="472"/>
      <c r="B35" s="445" t="s">
        <v>430</v>
      </c>
      <c r="C35" s="440" t="s">
        <v>400</v>
      </c>
      <c r="D35" s="440" t="s">
        <v>180</v>
      </c>
      <c r="E35" s="441">
        <v>1</v>
      </c>
      <c r="F35" s="442">
        <v>0</v>
      </c>
      <c r="G35" s="442">
        <v>0</v>
      </c>
      <c r="H35" s="443">
        <f t="shared" si="4"/>
        <v>0</v>
      </c>
      <c r="I35" s="443">
        <f t="shared" si="5"/>
        <v>0</v>
      </c>
      <c r="J35" s="443">
        <f t="shared" si="6"/>
        <v>0</v>
      </c>
      <c r="K35" s="443">
        <f t="shared" si="7"/>
        <v>0</v>
      </c>
    </row>
    <row r="36" spans="1:11" ht="15">
      <c r="A36" s="472"/>
      <c r="B36" s="439" t="s">
        <v>390</v>
      </c>
      <c r="C36" s="452"/>
      <c r="D36" s="452"/>
      <c r="E36" s="453"/>
      <c r="F36" s="454"/>
      <c r="G36" s="454"/>
      <c r="H36" s="455"/>
      <c r="I36" s="455"/>
      <c r="J36" s="455"/>
      <c r="K36" s="444">
        <f>SUM(K30:K35)</f>
        <v>0</v>
      </c>
    </row>
    <row r="37" spans="1:11" ht="15">
      <c r="A37" s="472"/>
      <c r="B37" s="439" t="s">
        <v>417</v>
      </c>
      <c r="C37" s="440"/>
      <c r="D37" s="440" t="s">
        <v>418</v>
      </c>
      <c r="E37" s="441">
        <v>1</v>
      </c>
      <c r="F37" s="442"/>
      <c r="G37" s="442"/>
      <c r="H37" s="443"/>
      <c r="I37" s="443"/>
      <c r="J37" s="443"/>
      <c r="K37" s="443">
        <f>SUM(K36)*0.025</f>
        <v>0</v>
      </c>
    </row>
    <row r="38" spans="1:11" ht="15">
      <c r="A38" s="472"/>
      <c r="B38" s="456" t="s">
        <v>431</v>
      </c>
      <c r="C38" s="440"/>
      <c r="D38" s="440"/>
      <c r="E38" s="441"/>
      <c r="F38" s="442"/>
      <c r="G38" s="442"/>
      <c r="H38" s="443"/>
      <c r="I38" s="443"/>
      <c r="J38" s="443"/>
      <c r="K38" s="444">
        <f>SUM(K36:K37)</f>
        <v>0</v>
      </c>
    </row>
    <row r="39" spans="1:11" ht="15">
      <c r="A39" s="472"/>
      <c r="B39" s="445"/>
      <c r="C39" s="440"/>
      <c r="D39" s="440"/>
      <c r="E39" s="441"/>
      <c r="F39" s="442"/>
      <c r="G39" s="442"/>
      <c r="H39" s="443"/>
      <c r="I39" s="443"/>
      <c r="J39" s="443"/>
      <c r="K39" s="443"/>
    </row>
    <row r="40" spans="1:11" ht="15">
      <c r="A40" s="472"/>
      <c r="B40" s="439" t="s">
        <v>432</v>
      </c>
      <c r="C40" s="440"/>
      <c r="D40" s="440"/>
      <c r="E40" s="441"/>
      <c r="F40" s="442"/>
      <c r="G40" s="442"/>
      <c r="H40" s="443"/>
      <c r="I40" s="443"/>
      <c r="J40" s="443"/>
      <c r="K40" s="444">
        <f>SUM(K54)</f>
        <v>0</v>
      </c>
    </row>
    <row r="41" spans="1:11" ht="15">
      <c r="A41" s="472"/>
      <c r="B41" s="445" t="s">
        <v>433</v>
      </c>
      <c r="C41" s="440"/>
      <c r="D41" s="440" t="s">
        <v>339</v>
      </c>
      <c r="E41" s="441"/>
      <c r="F41" s="442"/>
      <c r="G41" s="442"/>
      <c r="H41" s="443"/>
      <c r="I41" s="443"/>
      <c r="J41" s="443"/>
      <c r="K41" s="443"/>
    </row>
    <row r="42" spans="1:11" ht="15">
      <c r="A42" s="472"/>
      <c r="B42" s="449" t="s">
        <v>434</v>
      </c>
      <c r="C42" s="440" t="s">
        <v>400</v>
      </c>
      <c r="D42" s="440" t="s">
        <v>339</v>
      </c>
      <c r="E42" s="441">
        <v>5</v>
      </c>
      <c r="F42" s="450">
        <v>0</v>
      </c>
      <c r="G42" s="442">
        <v>0</v>
      </c>
      <c r="H42" s="443">
        <f>SUM(F42+G42)</f>
        <v>0</v>
      </c>
      <c r="I42" s="443">
        <f>SUM(F42*E42)</f>
        <v>0</v>
      </c>
      <c r="J42" s="443">
        <f>SUM(G42*E42)</f>
        <v>0</v>
      </c>
      <c r="K42" s="443">
        <f>SUM(I42+J42)</f>
        <v>0</v>
      </c>
    </row>
    <row r="43" spans="1:11" ht="15">
      <c r="A43" s="472"/>
      <c r="B43" s="445" t="s">
        <v>437</v>
      </c>
      <c r="C43" s="440" t="s">
        <v>400</v>
      </c>
      <c r="D43" s="440"/>
      <c r="E43" s="443"/>
      <c r="F43" s="451"/>
      <c r="G43" s="442"/>
      <c r="H43" s="443"/>
      <c r="I43" s="443"/>
      <c r="J43" s="443"/>
      <c r="K43" s="443"/>
    </row>
    <row r="44" spans="1:11" ht="15">
      <c r="A44" s="472"/>
      <c r="B44" s="445" t="s">
        <v>438</v>
      </c>
      <c r="C44" s="440" t="s">
        <v>400</v>
      </c>
      <c r="D44" s="440" t="s">
        <v>127</v>
      </c>
      <c r="E44" s="457">
        <v>2</v>
      </c>
      <c r="F44" s="451">
        <v>0</v>
      </c>
      <c r="G44" s="442">
        <v>0</v>
      </c>
      <c r="H44" s="443">
        <f aca="true" t="shared" si="8" ref="H44:H51">SUM(F44+G44)</f>
        <v>0</v>
      </c>
      <c r="I44" s="443">
        <f aca="true" t="shared" si="9" ref="I44:I51">SUM(F44*E44)</f>
        <v>0</v>
      </c>
      <c r="J44" s="443">
        <f aca="true" t="shared" si="10" ref="J44:J51">SUM(G44*E44)</f>
        <v>0</v>
      </c>
      <c r="K44" s="443">
        <f aca="true" t="shared" si="11" ref="K44:K51">SUM(I44+J44)</f>
        <v>0</v>
      </c>
    </row>
    <row r="45" spans="1:11" ht="15">
      <c r="A45" s="472"/>
      <c r="B45" s="445" t="s">
        <v>439</v>
      </c>
      <c r="C45" s="440" t="s">
        <v>400</v>
      </c>
      <c r="D45" s="440" t="s">
        <v>127</v>
      </c>
      <c r="E45" s="457">
        <v>2</v>
      </c>
      <c r="F45" s="451">
        <v>0</v>
      </c>
      <c r="G45" s="442">
        <v>0</v>
      </c>
      <c r="H45" s="443">
        <f t="shared" si="8"/>
        <v>0</v>
      </c>
      <c r="I45" s="443">
        <f t="shared" si="9"/>
        <v>0</v>
      </c>
      <c r="J45" s="443">
        <f t="shared" si="10"/>
        <v>0</v>
      </c>
      <c r="K45" s="443">
        <f t="shared" si="11"/>
        <v>0</v>
      </c>
    </row>
    <row r="46" spans="1:11" ht="15">
      <c r="A46" s="472"/>
      <c r="B46" s="445" t="s">
        <v>440</v>
      </c>
      <c r="C46" s="440" t="s">
        <v>400</v>
      </c>
      <c r="D46" s="440" t="s">
        <v>339</v>
      </c>
      <c r="E46" s="441">
        <v>5</v>
      </c>
      <c r="F46" s="442">
        <v>0</v>
      </c>
      <c r="G46" s="442">
        <v>0</v>
      </c>
      <c r="H46" s="443">
        <f t="shared" si="8"/>
        <v>0</v>
      </c>
      <c r="I46" s="443">
        <f t="shared" si="9"/>
        <v>0</v>
      </c>
      <c r="J46" s="443">
        <f t="shared" si="10"/>
        <v>0</v>
      </c>
      <c r="K46" s="443">
        <f t="shared" si="11"/>
        <v>0</v>
      </c>
    </row>
    <row r="47" spans="1:11" ht="15">
      <c r="A47" s="472"/>
      <c r="B47" s="445" t="s">
        <v>425</v>
      </c>
      <c r="C47" s="440" t="s">
        <v>400</v>
      </c>
      <c r="D47" s="440" t="s">
        <v>180</v>
      </c>
      <c r="E47" s="441">
        <v>1</v>
      </c>
      <c r="F47" s="450">
        <v>0</v>
      </c>
      <c r="G47" s="442">
        <v>0</v>
      </c>
      <c r="H47" s="443">
        <f t="shared" si="8"/>
        <v>0</v>
      </c>
      <c r="I47" s="443">
        <f t="shared" si="9"/>
        <v>0</v>
      </c>
      <c r="J47" s="443">
        <f t="shared" si="10"/>
        <v>0</v>
      </c>
      <c r="K47" s="443">
        <f t="shared" si="11"/>
        <v>0</v>
      </c>
    </row>
    <row r="48" spans="1:11" ht="15">
      <c r="A48" s="472"/>
      <c r="B48" s="445" t="s">
        <v>441</v>
      </c>
      <c r="C48" s="440"/>
      <c r="D48" s="440" t="s">
        <v>339</v>
      </c>
      <c r="E48" s="441">
        <f>SUM(E42:E42)</f>
        <v>5</v>
      </c>
      <c r="F48" s="442">
        <v>0</v>
      </c>
      <c r="G48" s="442">
        <v>0</v>
      </c>
      <c r="H48" s="443">
        <f t="shared" si="8"/>
        <v>0</v>
      </c>
      <c r="I48" s="443">
        <f t="shared" si="9"/>
        <v>0</v>
      </c>
      <c r="J48" s="443">
        <f t="shared" si="10"/>
        <v>0</v>
      </c>
      <c r="K48" s="443">
        <f t="shared" si="11"/>
        <v>0</v>
      </c>
    </row>
    <row r="49" spans="1:11" ht="15">
      <c r="A49" s="472"/>
      <c r="B49" s="445" t="s">
        <v>442</v>
      </c>
      <c r="C49" s="440" t="s">
        <v>400</v>
      </c>
      <c r="D49" s="440" t="s">
        <v>180</v>
      </c>
      <c r="E49" s="441">
        <v>1</v>
      </c>
      <c r="F49" s="451">
        <v>0</v>
      </c>
      <c r="G49" s="442">
        <v>0</v>
      </c>
      <c r="H49" s="443">
        <f t="shared" si="8"/>
        <v>0</v>
      </c>
      <c r="I49" s="443">
        <f t="shared" si="9"/>
        <v>0</v>
      </c>
      <c r="J49" s="443">
        <f t="shared" si="10"/>
        <v>0</v>
      </c>
      <c r="K49" s="443">
        <f t="shared" si="11"/>
        <v>0</v>
      </c>
    </row>
    <row r="50" spans="1:11" ht="15">
      <c r="A50" s="472"/>
      <c r="B50" s="445" t="s">
        <v>427</v>
      </c>
      <c r="C50" s="440" t="s">
        <v>400</v>
      </c>
      <c r="D50" s="440" t="s">
        <v>428</v>
      </c>
      <c r="E50" s="441">
        <v>3</v>
      </c>
      <c r="F50" s="451">
        <v>0</v>
      </c>
      <c r="G50" s="442">
        <v>0</v>
      </c>
      <c r="H50" s="443">
        <f t="shared" si="8"/>
        <v>0</v>
      </c>
      <c r="I50" s="443">
        <f t="shared" si="9"/>
        <v>0</v>
      </c>
      <c r="J50" s="443">
        <f t="shared" si="10"/>
        <v>0</v>
      </c>
      <c r="K50" s="443">
        <f t="shared" si="11"/>
        <v>0</v>
      </c>
    </row>
    <row r="51" spans="1:11" ht="15">
      <c r="A51" s="472"/>
      <c r="B51" s="445" t="s">
        <v>430</v>
      </c>
      <c r="C51" s="440" t="s">
        <v>400</v>
      </c>
      <c r="D51" s="440" t="s">
        <v>180</v>
      </c>
      <c r="E51" s="441">
        <v>1</v>
      </c>
      <c r="F51" s="442">
        <v>0</v>
      </c>
      <c r="G51" s="442">
        <v>0</v>
      </c>
      <c r="H51" s="443">
        <f t="shared" si="8"/>
        <v>0</v>
      </c>
      <c r="I51" s="443">
        <f t="shared" si="9"/>
        <v>0</v>
      </c>
      <c r="J51" s="443">
        <f t="shared" si="10"/>
        <v>0</v>
      </c>
      <c r="K51" s="443">
        <f t="shared" si="11"/>
        <v>0</v>
      </c>
    </row>
    <row r="52" spans="1:11" ht="15">
      <c r="A52" s="472"/>
      <c r="B52" s="439" t="s">
        <v>390</v>
      </c>
      <c r="C52" s="440"/>
      <c r="D52" s="440"/>
      <c r="E52" s="441"/>
      <c r="F52" s="442"/>
      <c r="G52" s="442"/>
      <c r="H52" s="443"/>
      <c r="I52" s="443"/>
      <c r="J52" s="443"/>
      <c r="K52" s="444">
        <f>SUM(K42:K51)</f>
        <v>0</v>
      </c>
    </row>
    <row r="53" spans="1:11" ht="15">
      <c r="A53" s="472"/>
      <c r="B53" s="439" t="s">
        <v>417</v>
      </c>
      <c r="C53" s="440"/>
      <c r="D53" s="440" t="s">
        <v>418</v>
      </c>
      <c r="E53" s="441">
        <v>1</v>
      </c>
      <c r="F53" s="442"/>
      <c r="G53" s="442"/>
      <c r="H53" s="443"/>
      <c r="I53" s="443"/>
      <c r="J53" s="443"/>
      <c r="K53" s="444">
        <f>SUM(K52)*0.03</f>
        <v>0</v>
      </c>
    </row>
    <row r="54" spans="1:11" ht="15">
      <c r="A54" s="472"/>
      <c r="B54" s="456" t="s">
        <v>443</v>
      </c>
      <c r="C54" s="440"/>
      <c r="D54" s="440"/>
      <c r="E54" s="441"/>
      <c r="F54" s="442"/>
      <c r="G54" s="442"/>
      <c r="H54" s="443"/>
      <c r="I54" s="443"/>
      <c r="J54" s="443"/>
      <c r="K54" s="444">
        <f>SUM(K52:K53)</f>
        <v>0</v>
      </c>
    </row>
    <row r="55" spans="1:11" ht="15">
      <c r="A55" s="472"/>
      <c r="B55" s="439"/>
      <c r="C55" s="440"/>
      <c r="D55" s="440"/>
      <c r="E55" s="441"/>
      <c r="F55" s="442"/>
      <c r="G55" s="442"/>
      <c r="H55" s="443"/>
      <c r="I55" s="443"/>
      <c r="J55" s="443"/>
      <c r="K55" s="443"/>
    </row>
    <row r="56" spans="1:11" ht="15">
      <c r="A56" s="472"/>
      <c r="B56" s="439" t="s">
        <v>444</v>
      </c>
      <c r="C56" s="440"/>
      <c r="D56" s="440"/>
      <c r="E56" s="441"/>
      <c r="F56" s="442"/>
      <c r="G56" s="442"/>
      <c r="H56" s="443"/>
      <c r="I56" s="443"/>
      <c r="J56" s="443"/>
      <c r="K56" s="444">
        <f>SUM(K62)</f>
        <v>0</v>
      </c>
    </row>
    <row r="57" spans="1:11" ht="15">
      <c r="A57" s="472"/>
      <c r="B57" s="445" t="s">
        <v>445</v>
      </c>
      <c r="C57" s="440"/>
      <c r="D57" s="440"/>
      <c r="E57" s="441"/>
      <c r="F57" s="442"/>
      <c r="G57" s="442"/>
      <c r="H57" s="443"/>
      <c r="I57" s="443"/>
      <c r="J57" s="443"/>
      <c r="K57" s="443"/>
    </row>
    <row r="58" spans="1:11" ht="15">
      <c r="A58" s="472"/>
      <c r="B58" s="445" t="s">
        <v>446</v>
      </c>
      <c r="C58" s="440"/>
      <c r="D58" s="440"/>
      <c r="E58" s="441"/>
      <c r="F58" s="442"/>
      <c r="G58" s="442"/>
      <c r="H58" s="443"/>
      <c r="I58" s="443"/>
      <c r="J58" s="443"/>
      <c r="K58" s="443"/>
    </row>
    <row r="59" spans="1:11" ht="15">
      <c r="A59" s="472"/>
      <c r="B59" s="445" t="s">
        <v>447</v>
      </c>
      <c r="C59" s="440" t="s">
        <v>400</v>
      </c>
      <c r="D59" s="440" t="s">
        <v>339</v>
      </c>
      <c r="E59" s="441">
        <f>SUM(E42)</f>
        <v>5</v>
      </c>
      <c r="F59" s="442">
        <v>0</v>
      </c>
      <c r="G59" s="442">
        <v>0</v>
      </c>
      <c r="H59" s="443">
        <f>SUM(F59+G59)</f>
        <v>0</v>
      </c>
      <c r="I59" s="443">
        <f>SUM(F59*E59)</f>
        <v>0</v>
      </c>
      <c r="J59" s="443">
        <f>SUM(G59*E59)</f>
        <v>0</v>
      </c>
      <c r="K59" s="443">
        <f>SUM(I59+J59)</f>
        <v>0</v>
      </c>
    </row>
    <row r="60" spans="1:11" ht="15">
      <c r="A60" s="472"/>
      <c r="B60" s="439" t="s">
        <v>390</v>
      </c>
      <c r="C60" s="440"/>
      <c r="D60" s="440"/>
      <c r="E60" s="441"/>
      <c r="F60" s="442"/>
      <c r="G60" s="442"/>
      <c r="H60" s="443"/>
      <c r="I60" s="443"/>
      <c r="J60" s="443"/>
      <c r="K60" s="444">
        <f>SUM(K59:K59)</f>
        <v>0</v>
      </c>
    </row>
    <row r="61" spans="1:11" ht="15">
      <c r="A61" s="472"/>
      <c r="B61" s="439" t="s">
        <v>417</v>
      </c>
      <c r="C61" s="440"/>
      <c r="D61" s="440" t="s">
        <v>418</v>
      </c>
      <c r="E61" s="441">
        <v>1</v>
      </c>
      <c r="F61" s="442"/>
      <c r="G61" s="442"/>
      <c r="H61" s="443"/>
      <c r="I61" s="443"/>
      <c r="J61" s="443"/>
      <c r="K61" s="444">
        <f>SUM(K60)*0.035</f>
        <v>0</v>
      </c>
    </row>
    <row r="62" spans="1:11" ht="15">
      <c r="A62" s="472"/>
      <c r="B62" s="456" t="s">
        <v>449</v>
      </c>
      <c r="C62" s="440"/>
      <c r="D62" s="440"/>
      <c r="E62" s="441"/>
      <c r="F62" s="442"/>
      <c r="G62" s="442"/>
      <c r="H62" s="443"/>
      <c r="I62" s="443"/>
      <c r="J62" s="443"/>
      <c r="K62" s="444">
        <f>SUM(K60:K61)</f>
        <v>0</v>
      </c>
    </row>
    <row r="63" spans="1:11" ht="15">
      <c r="A63" s="473"/>
      <c r="B63" s="458"/>
      <c r="C63" s="459"/>
      <c r="D63" s="459"/>
      <c r="E63" s="460"/>
      <c r="F63" s="461"/>
      <c r="G63" s="461"/>
      <c r="H63" s="462"/>
      <c r="I63" s="462"/>
      <c r="J63" s="462"/>
      <c r="K63" s="463"/>
    </row>
    <row r="64" spans="1:11" ht="15">
      <c r="A64" s="472"/>
      <c r="B64" s="439" t="s">
        <v>389</v>
      </c>
      <c r="C64" s="440"/>
      <c r="D64" s="440"/>
      <c r="E64" s="441"/>
      <c r="F64" s="442"/>
      <c r="G64" s="442"/>
      <c r="H64" s="443"/>
      <c r="I64" s="443"/>
      <c r="J64" s="443"/>
      <c r="K64" s="444">
        <f>SUM(K71)</f>
        <v>0</v>
      </c>
    </row>
    <row r="65" spans="1:11" ht="15">
      <c r="A65" s="472"/>
      <c r="B65" s="449" t="s">
        <v>450</v>
      </c>
      <c r="C65" s="440" t="s">
        <v>400</v>
      </c>
      <c r="D65" s="440" t="s">
        <v>127</v>
      </c>
      <c r="E65" s="441">
        <v>1</v>
      </c>
      <c r="F65" s="442">
        <v>0</v>
      </c>
      <c r="G65" s="442">
        <v>0</v>
      </c>
      <c r="H65" s="443">
        <f>SUM(F65+G65)</f>
        <v>0</v>
      </c>
      <c r="I65" s="443">
        <f>SUM(F65*E65)</f>
        <v>0</v>
      </c>
      <c r="J65" s="443">
        <f>SUM(G65*E65)</f>
        <v>0</v>
      </c>
      <c r="K65" s="443">
        <f>SUM(I65+J65)</f>
        <v>0</v>
      </c>
    </row>
    <row r="66" spans="1:11" ht="15">
      <c r="A66" s="472"/>
      <c r="B66" s="449" t="s">
        <v>465</v>
      </c>
      <c r="C66" s="440" t="s">
        <v>400</v>
      </c>
      <c r="D66" s="440" t="s">
        <v>418</v>
      </c>
      <c r="E66" s="441">
        <v>1</v>
      </c>
      <c r="F66" s="442">
        <v>0</v>
      </c>
      <c r="G66" s="442">
        <v>0</v>
      </c>
      <c r="H66" s="443">
        <f>SUM(F66+G66)</f>
        <v>0</v>
      </c>
      <c r="I66" s="443">
        <f>SUM(F66*E66)</f>
        <v>0</v>
      </c>
      <c r="J66" s="443">
        <f>SUM(G66*E66)</f>
        <v>0</v>
      </c>
      <c r="K66" s="443">
        <f>SUM(I66+J66)</f>
        <v>0</v>
      </c>
    </row>
    <row r="67" spans="1:11" ht="15">
      <c r="A67" s="472"/>
      <c r="B67" s="445" t="s">
        <v>452</v>
      </c>
      <c r="C67" s="440" t="s">
        <v>400</v>
      </c>
      <c r="D67" s="440" t="s">
        <v>127</v>
      </c>
      <c r="E67" s="457">
        <v>1</v>
      </c>
      <c r="F67" s="442">
        <v>0</v>
      </c>
      <c r="G67" s="442">
        <v>0</v>
      </c>
      <c r="H67" s="443">
        <f>SUM(F67+G67)</f>
        <v>0</v>
      </c>
      <c r="I67" s="443">
        <f>SUM(F67*E67)</f>
        <v>0</v>
      </c>
      <c r="J67" s="443">
        <f>SUM(G67*E67)</f>
        <v>0</v>
      </c>
      <c r="K67" s="443">
        <f>SUM(I67+J67)</f>
        <v>0</v>
      </c>
    </row>
    <row r="68" spans="1:11" ht="15">
      <c r="A68" s="472"/>
      <c r="B68" s="445" t="s">
        <v>466</v>
      </c>
      <c r="C68" s="440" t="s">
        <v>400</v>
      </c>
      <c r="D68" s="440" t="s">
        <v>127</v>
      </c>
      <c r="E68" s="457">
        <v>1</v>
      </c>
      <c r="F68" s="442">
        <v>0</v>
      </c>
      <c r="G68" s="442">
        <v>0</v>
      </c>
      <c r="H68" s="443">
        <f>SUM(F68+G68)</f>
        <v>0</v>
      </c>
      <c r="I68" s="443">
        <f>SUM(F68*E68)</f>
        <v>0</v>
      </c>
      <c r="J68" s="443">
        <f>SUM(G68*E68)</f>
        <v>0</v>
      </c>
      <c r="K68" s="443">
        <f>SUM(I68+J68)</f>
        <v>0</v>
      </c>
    </row>
    <row r="69" spans="1:11" ht="15">
      <c r="A69" s="472"/>
      <c r="B69" s="439" t="s">
        <v>390</v>
      </c>
      <c r="C69" s="440"/>
      <c r="D69" s="440"/>
      <c r="E69" s="441"/>
      <c r="F69" s="442"/>
      <c r="G69" s="442"/>
      <c r="H69" s="443"/>
      <c r="I69" s="443"/>
      <c r="J69" s="443"/>
      <c r="K69" s="444">
        <f>SUM(K65:K68)</f>
        <v>0</v>
      </c>
    </row>
    <row r="70" spans="1:11" ht="15">
      <c r="A70" s="472"/>
      <c r="B70" s="464" t="s">
        <v>417</v>
      </c>
      <c r="C70" s="465"/>
      <c r="D70" s="465" t="s">
        <v>418</v>
      </c>
      <c r="E70" s="466">
        <v>1</v>
      </c>
      <c r="F70" s="467"/>
      <c r="G70" s="467"/>
      <c r="H70" s="468"/>
      <c r="I70" s="468"/>
      <c r="J70" s="468"/>
      <c r="K70" s="469">
        <f>SUM(K69)*0.03</f>
        <v>0</v>
      </c>
    </row>
    <row r="71" spans="1:11" ht="15">
      <c r="A71" s="472"/>
      <c r="B71" s="456" t="s">
        <v>453</v>
      </c>
      <c r="C71" s="440"/>
      <c r="D71" s="440"/>
      <c r="E71" s="441"/>
      <c r="F71" s="442"/>
      <c r="G71" s="442"/>
      <c r="H71" s="443"/>
      <c r="I71" s="443"/>
      <c r="J71" s="443"/>
      <c r="K71" s="444">
        <f>SUM(K69:K70)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M15" sqref="M15"/>
    </sheetView>
  </sheetViews>
  <sheetFormatPr defaultColWidth="9.140625" defaultRowHeight="15"/>
  <cols>
    <col min="3" max="3" width="54.00390625" style="0" customWidth="1"/>
  </cols>
  <sheetData>
    <row r="1" spans="1:8" ht="35.25" customHeight="1">
      <c r="A1" s="474"/>
      <c r="B1" s="45"/>
      <c r="C1" s="514" t="s">
        <v>46</v>
      </c>
      <c r="D1" s="50"/>
      <c r="E1" s="475"/>
      <c r="F1" s="47"/>
      <c r="G1" s="48"/>
      <c r="H1" s="49"/>
    </row>
    <row r="2" spans="1:8" ht="15">
      <c r="A2" s="474"/>
      <c r="B2" s="45"/>
      <c r="C2" s="50" t="s">
        <v>32</v>
      </c>
      <c r="D2" s="50"/>
      <c r="E2" s="475"/>
      <c r="F2" s="47"/>
      <c r="G2" s="48"/>
      <c r="H2" s="49"/>
    </row>
    <row r="3" spans="1:8" ht="47.25">
      <c r="A3" s="474"/>
      <c r="B3" s="45"/>
      <c r="C3" s="267" t="s">
        <v>462</v>
      </c>
      <c r="D3" s="50"/>
      <c r="E3" s="475"/>
      <c r="F3" s="47"/>
      <c r="G3" s="48"/>
      <c r="H3" s="49"/>
    </row>
    <row r="4" spans="1:8" ht="15">
      <c r="A4" s="474"/>
      <c r="B4" s="45"/>
      <c r="C4" s="51"/>
      <c r="D4" s="50"/>
      <c r="E4" s="475"/>
      <c r="F4" s="47"/>
      <c r="G4" s="48"/>
      <c r="H4" s="49"/>
    </row>
    <row r="5" spans="1:8" ht="45" customHeight="1">
      <c r="A5" s="474"/>
      <c r="B5" s="45"/>
      <c r="C5" s="577" t="s">
        <v>53</v>
      </c>
      <c r="D5" s="50"/>
      <c r="E5" s="475"/>
      <c r="F5" s="47"/>
      <c r="G5" s="48"/>
      <c r="H5" s="49"/>
    </row>
    <row r="6" spans="1:8" ht="15">
      <c r="A6" s="476"/>
      <c r="B6" s="53"/>
      <c r="C6" s="54"/>
      <c r="D6" s="277"/>
      <c r="E6" s="477"/>
      <c r="F6" s="57"/>
      <c r="G6" s="58"/>
      <c r="H6" s="59"/>
    </row>
    <row r="7" spans="1:8" ht="15">
      <c r="A7" s="474"/>
      <c r="B7" s="45"/>
      <c r="C7" s="50" t="s">
        <v>33</v>
      </c>
      <c r="D7" s="50"/>
      <c r="E7" s="475"/>
      <c r="F7" s="47"/>
      <c r="G7" s="48"/>
      <c r="H7" s="49"/>
    </row>
    <row r="8" spans="1:8" ht="31.5">
      <c r="A8" s="474"/>
      <c r="B8" s="45"/>
      <c r="C8" s="272" t="s">
        <v>291</v>
      </c>
      <c r="D8" s="50"/>
      <c r="E8" s="475"/>
      <c r="F8" s="47"/>
      <c r="G8" s="48"/>
      <c r="H8" s="49"/>
    </row>
    <row r="9" spans="1:8" ht="15">
      <c r="A9" s="474"/>
      <c r="B9" s="45"/>
      <c r="C9" s="61"/>
      <c r="D9" s="50"/>
      <c r="E9" s="475"/>
      <c r="F9" s="47"/>
      <c r="G9" s="48"/>
      <c r="H9" s="49"/>
    </row>
    <row r="10" spans="1:8" ht="15">
      <c r="A10" s="474"/>
      <c r="B10" s="45"/>
      <c r="C10" s="61"/>
      <c r="D10" s="50"/>
      <c r="E10" s="475"/>
      <c r="F10" s="47"/>
      <c r="G10" s="48"/>
      <c r="H10" s="49"/>
    </row>
    <row r="11" spans="1:8" ht="15">
      <c r="A11" s="474"/>
      <c r="B11" s="45"/>
      <c r="C11" s="61"/>
      <c r="D11" s="50"/>
      <c r="E11" s="475"/>
      <c r="F11" s="47"/>
      <c r="G11" s="48"/>
      <c r="H11" s="49"/>
    </row>
    <row r="12" spans="1:8" ht="15">
      <c r="A12" s="476"/>
      <c r="B12" s="53"/>
      <c r="C12" s="62"/>
      <c r="D12" s="277"/>
      <c r="E12" s="477"/>
      <c r="F12" s="57"/>
      <c r="G12" s="58"/>
      <c r="H12" s="59"/>
    </row>
    <row r="13" spans="1:8" ht="15">
      <c r="A13" s="567"/>
      <c r="B13" s="234"/>
      <c r="C13" s="235" t="s">
        <v>65</v>
      </c>
      <c r="D13" s="226"/>
      <c r="E13" s="528"/>
      <c r="F13" s="228"/>
      <c r="G13" s="236"/>
      <c r="H13" s="230"/>
    </row>
    <row r="14" spans="1:8" ht="15">
      <c r="A14" s="527" t="s">
        <v>66</v>
      </c>
      <c r="B14" s="234"/>
      <c r="C14" s="237" t="s">
        <v>49</v>
      </c>
      <c r="D14" s="226"/>
      <c r="E14" s="528"/>
      <c r="F14" s="228"/>
      <c r="G14" s="236"/>
      <c r="H14" s="230"/>
    </row>
    <row r="15" spans="1:8" ht="15">
      <c r="A15" s="527" t="s">
        <v>67</v>
      </c>
      <c r="B15" s="234"/>
      <c r="C15" s="238" t="s">
        <v>68</v>
      </c>
      <c r="D15" s="226" t="s">
        <v>51</v>
      </c>
      <c r="E15" s="528"/>
      <c r="F15" s="228"/>
      <c r="G15" s="236">
        <f>G45</f>
        <v>0</v>
      </c>
      <c r="H15" s="230"/>
    </row>
    <row r="16" spans="1:8" ht="15">
      <c r="A16" s="527" t="s">
        <v>69</v>
      </c>
      <c r="B16" s="224"/>
      <c r="C16" s="238" t="s">
        <v>467</v>
      </c>
      <c r="D16" s="226" t="s">
        <v>51</v>
      </c>
      <c r="E16" s="528"/>
      <c r="F16" s="228"/>
      <c r="G16" s="236">
        <f>G52</f>
        <v>0</v>
      </c>
      <c r="H16" s="230"/>
    </row>
    <row r="17" spans="1:8" ht="15">
      <c r="A17" s="527" t="s">
        <v>71</v>
      </c>
      <c r="B17" s="224"/>
      <c r="C17" s="262" t="s">
        <v>72</v>
      </c>
      <c r="D17" s="226" t="s">
        <v>51</v>
      </c>
      <c r="E17" s="528"/>
      <c r="F17" s="228"/>
      <c r="G17" s="236">
        <f>G61</f>
        <v>0</v>
      </c>
      <c r="H17" s="230"/>
    </row>
    <row r="18" spans="1:8" ht="15">
      <c r="A18" s="527" t="s">
        <v>73</v>
      </c>
      <c r="B18" s="224"/>
      <c r="C18" s="262" t="s">
        <v>80</v>
      </c>
      <c r="D18" s="226" t="s">
        <v>51</v>
      </c>
      <c r="E18" s="528"/>
      <c r="F18" s="228"/>
      <c r="G18" s="236">
        <f>G69</f>
        <v>0</v>
      </c>
      <c r="H18" s="230"/>
    </row>
    <row r="19" spans="1:8" ht="15">
      <c r="A19" s="527" t="s">
        <v>77</v>
      </c>
      <c r="B19" s="569"/>
      <c r="C19" s="242" t="s">
        <v>82</v>
      </c>
      <c r="D19" s="243" t="s">
        <v>51</v>
      </c>
      <c r="E19" s="535"/>
      <c r="F19" s="245"/>
      <c r="G19" s="240">
        <f>'[1]VV EL silnoproud NB 177a'!C27</f>
        <v>0</v>
      </c>
      <c r="H19" s="588"/>
    </row>
    <row r="20" spans="1:8" ht="15">
      <c r="A20" s="527" t="s">
        <v>79</v>
      </c>
      <c r="B20" s="224"/>
      <c r="C20" s="239" t="s">
        <v>84</v>
      </c>
      <c r="D20" s="226" t="s">
        <v>51</v>
      </c>
      <c r="E20" s="528"/>
      <c r="F20" s="228"/>
      <c r="G20" s="240">
        <f>'[1]VV EL slaboproud NB 177a'!G5</f>
        <v>0</v>
      </c>
      <c r="H20" s="241"/>
    </row>
    <row r="21" spans="1:8" ht="15">
      <c r="A21" s="527" t="s">
        <v>81</v>
      </c>
      <c r="B21" s="589"/>
      <c r="C21" s="590"/>
      <c r="D21" s="591"/>
      <c r="E21" s="592"/>
      <c r="F21" s="593"/>
      <c r="G21" s="594"/>
      <c r="H21" s="588"/>
    </row>
    <row r="22" spans="1:8" ht="15">
      <c r="A22" s="527" t="s">
        <v>83</v>
      </c>
      <c r="B22" s="224"/>
      <c r="C22" s="246"/>
      <c r="D22" s="226"/>
      <c r="E22" s="528"/>
      <c r="F22" s="228"/>
      <c r="G22" s="236"/>
      <c r="H22" s="230"/>
    </row>
    <row r="23" spans="1:8" ht="15">
      <c r="A23" s="527" t="s">
        <v>85</v>
      </c>
      <c r="B23" s="224"/>
      <c r="C23" s="233" t="s">
        <v>58</v>
      </c>
      <c r="D23" s="226" t="s">
        <v>51</v>
      </c>
      <c r="E23" s="528"/>
      <c r="F23" s="228"/>
      <c r="G23" s="229">
        <f>SUM(G15:G22)</f>
        <v>0</v>
      </c>
      <c r="H23" s="230"/>
    </row>
    <row r="24" spans="1:8" ht="15">
      <c r="A24" s="527" t="s">
        <v>87</v>
      </c>
      <c r="B24" s="224"/>
      <c r="C24" s="237" t="s">
        <v>59</v>
      </c>
      <c r="D24" s="226"/>
      <c r="E24" s="528"/>
      <c r="F24" s="228"/>
      <c r="G24" s="247"/>
      <c r="H24" s="230"/>
    </row>
    <row r="25" spans="1:8" ht="15">
      <c r="A25" s="527" t="s">
        <v>88</v>
      </c>
      <c r="B25" s="224"/>
      <c r="C25" s="246" t="s">
        <v>60</v>
      </c>
      <c r="D25" s="226" t="s">
        <v>51</v>
      </c>
      <c r="E25" s="528"/>
      <c r="F25" s="228"/>
      <c r="G25" s="236">
        <f>G23*0.025</f>
        <v>0</v>
      </c>
      <c r="H25" s="230"/>
    </row>
    <row r="26" spans="1:8" ht="15">
      <c r="A26" s="527" t="s">
        <v>89</v>
      </c>
      <c r="B26" s="224"/>
      <c r="C26" s="246"/>
      <c r="D26" s="226"/>
      <c r="E26" s="528"/>
      <c r="F26" s="228"/>
      <c r="G26" s="236"/>
      <c r="H26" s="230"/>
    </row>
    <row r="27" spans="1:8" ht="15">
      <c r="A27" s="527" t="s">
        <v>90</v>
      </c>
      <c r="B27" s="224"/>
      <c r="C27" s="246"/>
      <c r="D27" s="226"/>
      <c r="E27" s="528"/>
      <c r="F27" s="228"/>
      <c r="G27" s="236"/>
      <c r="H27" s="230"/>
    </row>
    <row r="28" spans="1:8" ht="15">
      <c r="A28" s="527" t="s">
        <v>91</v>
      </c>
      <c r="B28" s="224"/>
      <c r="C28" s="248" t="s">
        <v>61</v>
      </c>
      <c r="D28" s="226" t="s">
        <v>51</v>
      </c>
      <c r="E28" s="528"/>
      <c r="F28" s="228"/>
      <c r="G28" s="229">
        <f>SUM(G23:G27)</f>
        <v>0</v>
      </c>
      <c r="H28" s="230"/>
    </row>
    <row r="29" spans="1:8" ht="15">
      <c r="A29" s="527" t="s">
        <v>92</v>
      </c>
      <c r="B29" s="224"/>
      <c r="C29" s="246"/>
      <c r="D29" s="226"/>
      <c r="E29" s="528"/>
      <c r="F29" s="228"/>
      <c r="G29" s="236"/>
      <c r="H29" s="230"/>
    </row>
    <row r="30" spans="1:8" ht="15">
      <c r="A30" s="527" t="s">
        <v>93</v>
      </c>
      <c r="B30" s="224"/>
      <c r="C30" s="246"/>
      <c r="D30" s="226"/>
      <c r="E30" s="528"/>
      <c r="F30" s="228"/>
      <c r="G30" s="236"/>
      <c r="H30" s="230"/>
    </row>
    <row r="31" spans="1:8" ht="15">
      <c r="A31" s="527" t="s">
        <v>94</v>
      </c>
      <c r="B31" s="224"/>
      <c r="C31" s="248" t="s">
        <v>62</v>
      </c>
      <c r="D31" s="226" t="s">
        <v>51</v>
      </c>
      <c r="E31" s="528"/>
      <c r="F31" s="228"/>
      <c r="G31" s="236">
        <f>G28*0.21</f>
        <v>0</v>
      </c>
      <c r="H31" s="230"/>
    </row>
    <row r="32" spans="1:8" ht="15">
      <c r="A32" s="527" t="s">
        <v>95</v>
      </c>
      <c r="B32" s="224"/>
      <c r="C32" s="248"/>
      <c r="D32" s="226"/>
      <c r="E32" s="528"/>
      <c r="F32" s="228"/>
      <c r="G32" s="236"/>
      <c r="H32" s="230"/>
    </row>
    <row r="33" spans="1:8" ht="15">
      <c r="A33" s="527" t="s">
        <v>96</v>
      </c>
      <c r="B33" s="224"/>
      <c r="C33" s="233" t="s">
        <v>63</v>
      </c>
      <c r="D33" s="226" t="s">
        <v>51</v>
      </c>
      <c r="E33" s="528"/>
      <c r="F33" s="228"/>
      <c r="G33" s="229">
        <f>SUM(G28:G32)</f>
        <v>0</v>
      </c>
      <c r="H33" s="230"/>
    </row>
    <row r="34" spans="1:8" ht="15">
      <c r="A34" s="527" t="s">
        <v>97</v>
      </c>
      <c r="B34" s="224"/>
      <c r="C34" s="233"/>
      <c r="D34" s="226"/>
      <c r="E34" s="528"/>
      <c r="F34" s="228"/>
      <c r="G34" s="229"/>
      <c r="H34" s="230"/>
    </row>
    <row r="35" spans="1:8" ht="15">
      <c r="A35" s="527" t="s">
        <v>98</v>
      </c>
      <c r="B35" s="224"/>
      <c r="C35" s="233"/>
      <c r="D35" s="226"/>
      <c r="E35" s="528"/>
      <c r="F35" s="228"/>
      <c r="G35" s="229"/>
      <c r="H35" s="230"/>
    </row>
    <row r="36" spans="1:8" ht="15">
      <c r="A36" s="478" t="s">
        <v>99</v>
      </c>
      <c r="B36" s="53"/>
      <c r="C36" s="62"/>
      <c r="D36" s="277"/>
      <c r="E36" s="477"/>
      <c r="F36" s="57"/>
      <c r="G36" s="58"/>
      <c r="H36" s="59"/>
    </row>
    <row r="37" spans="1:8" ht="15">
      <c r="A37" s="478" t="s">
        <v>100</v>
      </c>
      <c r="B37" s="53"/>
      <c r="C37" s="62"/>
      <c r="D37" s="277"/>
      <c r="E37" s="477"/>
      <c r="F37" s="57"/>
      <c r="G37" s="58"/>
      <c r="H37" s="59"/>
    </row>
    <row r="38" spans="1:8" ht="22.5">
      <c r="A38" s="478" t="s">
        <v>101</v>
      </c>
      <c r="B38" s="78" t="s">
        <v>105</v>
      </c>
      <c r="C38" s="78" t="s">
        <v>106</v>
      </c>
      <c r="D38" s="78" t="s">
        <v>107</v>
      </c>
      <c r="E38" s="480" t="s">
        <v>108</v>
      </c>
      <c r="F38" s="79" t="s">
        <v>109</v>
      </c>
      <c r="G38" s="80" t="s">
        <v>110</v>
      </c>
      <c r="H38" s="81" t="s">
        <v>111</v>
      </c>
    </row>
    <row r="39" spans="1:8" ht="84">
      <c r="A39" s="478" t="s">
        <v>102</v>
      </c>
      <c r="B39" s="53"/>
      <c r="C39" s="82" t="s">
        <v>113</v>
      </c>
      <c r="D39" s="277"/>
      <c r="E39" s="477"/>
      <c r="F39" s="57"/>
      <c r="G39" s="65"/>
      <c r="H39" s="59"/>
    </row>
    <row r="40" spans="1:8" ht="24.75">
      <c r="A40" s="478" t="s">
        <v>103</v>
      </c>
      <c r="B40" s="53"/>
      <c r="C40" s="83" t="s">
        <v>115</v>
      </c>
      <c r="D40" s="277"/>
      <c r="E40" s="477"/>
      <c r="F40" s="57"/>
      <c r="G40" s="65"/>
      <c r="H40" s="59"/>
    </row>
    <row r="41" spans="1:8" ht="36.75">
      <c r="A41" s="478" t="s">
        <v>104</v>
      </c>
      <c r="B41" s="53"/>
      <c r="C41" s="84" t="s">
        <v>117</v>
      </c>
      <c r="D41" s="277"/>
      <c r="E41" s="477"/>
      <c r="F41" s="57"/>
      <c r="G41" s="65"/>
      <c r="H41" s="59"/>
    </row>
    <row r="42" spans="1:8" ht="15">
      <c r="A42" s="478" t="s">
        <v>112</v>
      </c>
      <c r="B42" s="53"/>
      <c r="C42" s="84"/>
      <c r="D42" s="277"/>
      <c r="E42" s="477"/>
      <c r="F42" s="57"/>
      <c r="G42" s="65"/>
      <c r="H42" s="59"/>
    </row>
    <row r="43" spans="1:8" ht="15">
      <c r="A43" s="478" t="s">
        <v>114</v>
      </c>
      <c r="B43" s="53"/>
      <c r="C43" s="85" t="s">
        <v>468</v>
      </c>
      <c r="D43" s="55"/>
      <c r="E43" s="56"/>
      <c r="F43" s="57"/>
      <c r="G43" s="65"/>
      <c r="H43" s="59"/>
    </row>
    <row r="44" spans="1:8" ht="15">
      <c r="A44" s="478" t="s">
        <v>116</v>
      </c>
      <c r="B44" s="53"/>
      <c r="C44" s="85"/>
      <c r="D44" s="55"/>
      <c r="E44" s="56"/>
      <c r="F44" s="57"/>
      <c r="G44" s="65"/>
      <c r="H44" s="59"/>
    </row>
    <row r="45" spans="1:8" ht="15">
      <c r="A45" s="478" t="s">
        <v>118</v>
      </c>
      <c r="B45" s="86"/>
      <c r="C45" s="87" t="s">
        <v>123</v>
      </c>
      <c r="D45" s="88" t="s">
        <v>51</v>
      </c>
      <c r="E45" s="89" t="s">
        <v>124</v>
      </c>
      <c r="F45" s="90"/>
      <c r="G45" s="91">
        <f>SUM(G46:G50)</f>
        <v>0</v>
      </c>
      <c r="H45" s="92"/>
    </row>
    <row r="46" spans="1:8" ht="36.75">
      <c r="A46" s="478" t="s">
        <v>119</v>
      </c>
      <c r="B46" s="96" t="s">
        <v>132</v>
      </c>
      <c r="C46" s="71" t="s">
        <v>126</v>
      </c>
      <c r="D46" s="93" t="s">
        <v>134</v>
      </c>
      <c r="E46" s="73">
        <v>1</v>
      </c>
      <c r="F46" s="74">
        <v>0</v>
      </c>
      <c r="G46" s="94">
        <f>E46*F46</f>
        <v>0</v>
      </c>
      <c r="H46" s="95"/>
    </row>
    <row r="47" spans="1:8" ht="48.75">
      <c r="A47" s="478" t="s">
        <v>121</v>
      </c>
      <c r="B47" s="96"/>
      <c r="C47" s="71" t="s">
        <v>469</v>
      </c>
      <c r="D47" s="72" t="s">
        <v>130</v>
      </c>
      <c r="E47" s="73">
        <f>5.65*13.775-0.5*0.4*6-3*0.3</f>
        <v>75.72875</v>
      </c>
      <c r="F47" s="74">
        <v>0</v>
      </c>
      <c r="G47" s="94">
        <f>E47*F47</f>
        <v>0</v>
      </c>
      <c r="H47" s="95"/>
    </row>
    <row r="48" spans="1:8" ht="24">
      <c r="A48" s="478" t="s">
        <v>122</v>
      </c>
      <c r="B48" s="96" t="s">
        <v>132</v>
      </c>
      <c r="C48" s="97" t="s">
        <v>133</v>
      </c>
      <c r="D48" s="72" t="s">
        <v>134</v>
      </c>
      <c r="E48" s="73">
        <v>3</v>
      </c>
      <c r="F48" s="74">
        <v>0</v>
      </c>
      <c r="G48" s="94">
        <f>E48*F48</f>
        <v>0</v>
      </c>
      <c r="H48" s="95"/>
    </row>
    <row r="49" spans="1:8" ht="72">
      <c r="A49" s="478" t="s">
        <v>125</v>
      </c>
      <c r="B49" s="96">
        <v>619996145</v>
      </c>
      <c r="C49" s="97" t="s">
        <v>470</v>
      </c>
      <c r="D49" s="72" t="s">
        <v>130</v>
      </c>
      <c r="E49" s="73">
        <f>(5.65+13.775*2)*3.3+(3.9+1.6*2)*2.2</f>
        <v>125.18</v>
      </c>
      <c r="F49" s="74">
        <v>0</v>
      </c>
      <c r="G49" s="94">
        <f>E49*F49</f>
        <v>0</v>
      </c>
      <c r="H49" s="95"/>
    </row>
    <row r="50" spans="1:8" ht="60.75">
      <c r="A50" s="478" t="s">
        <v>128</v>
      </c>
      <c r="B50" s="513" t="s">
        <v>471</v>
      </c>
      <c r="C50" s="105" t="s">
        <v>472</v>
      </c>
      <c r="D50" s="282" t="s">
        <v>130</v>
      </c>
      <c r="E50" s="73">
        <f>5.65*13.775-0.5*0.4*6-3*0.3</f>
        <v>75.72875</v>
      </c>
      <c r="F50" s="74">
        <v>0</v>
      </c>
      <c r="G50" s="94">
        <f>E50*F50</f>
        <v>0</v>
      </c>
      <c r="H50" s="95"/>
    </row>
    <row r="51" spans="1:8" ht="15">
      <c r="A51" s="478" t="s">
        <v>131</v>
      </c>
      <c r="B51" s="98"/>
      <c r="C51" s="102"/>
      <c r="D51" s="72"/>
      <c r="E51" s="73"/>
      <c r="F51" s="74"/>
      <c r="G51" s="69"/>
      <c r="H51" s="101"/>
    </row>
    <row r="52" spans="1:8" ht="15">
      <c r="A52" s="478" t="s">
        <v>135</v>
      </c>
      <c r="B52" s="86"/>
      <c r="C52" s="103" t="s">
        <v>146</v>
      </c>
      <c r="D52" s="88" t="s">
        <v>51</v>
      </c>
      <c r="E52" s="89" t="s">
        <v>124</v>
      </c>
      <c r="F52" s="90"/>
      <c r="G52" s="91">
        <f>SUM(G53:G59)</f>
        <v>0</v>
      </c>
      <c r="H52" s="92">
        <f>SUM(H53:H54)</f>
        <v>0.21</v>
      </c>
    </row>
    <row r="53" spans="1:8" ht="24.75">
      <c r="A53" s="478" t="s">
        <v>137</v>
      </c>
      <c r="B53" s="104">
        <v>974031122</v>
      </c>
      <c r="C53" s="105" t="s">
        <v>151</v>
      </c>
      <c r="D53" s="106" t="s">
        <v>149</v>
      </c>
      <c r="E53" s="107">
        <v>30</v>
      </c>
      <c r="F53" s="90">
        <v>0</v>
      </c>
      <c r="G53" s="108">
        <f>E53*F53</f>
        <v>0</v>
      </c>
      <c r="H53" s="95">
        <f>0.004*E53</f>
        <v>0.12</v>
      </c>
    </row>
    <row r="54" spans="1:8" ht="24.75">
      <c r="A54" s="478" t="s">
        <v>140</v>
      </c>
      <c r="B54" s="104">
        <v>973031324</v>
      </c>
      <c r="C54" s="105" t="s">
        <v>457</v>
      </c>
      <c r="D54" s="106" t="s">
        <v>127</v>
      </c>
      <c r="E54" s="107">
        <f>3+3</f>
        <v>6</v>
      </c>
      <c r="F54" s="90">
        <v>0</v>
      </c>
      <c r="G54" s="108">
        <f>E54*F54</f>
        <v>0</v>
      </c>
      <c r="H54" s="95">
        <f>0.015*E54</f>
        <v>0.09</v>
      </c>
    </row>
    <row r="55" spans="1:8" ht="24.75">
      <c r="A55" s="478" t="s">
        <v>143</v>
      </c>
      <c r="B55" s="104">
        <v>997013151</v>
      </c>
      <c r="C55" s="109" t="s">
        <v>156</v>
      </c>
      <c r="D55" s="110" t="s">
        <v>157</v>
      </c>
      <c r="E55" s="111">
        <f>0.55+0.01+0.03</f>
        <v>0.5900000000000001</v>
      </c>
      <c r="F55" s="112">
        <v>0</v>
      </c>
      <c r="G55" s="94">
        <f>E55*F55</f>
        <v>0</v>
      </c>
      <c r="H55" s="95"/>
    </row>
    <row r="56" spans="1:8" ht="15">
      <c r="A56" s="478" t="s">
        <v>144</v>
      </c>
      <c r="B56" s="104"/>
      <c r="C56" s="109" t="s">
        <v>159</v>
      </c>
      <c r="D56" s="110"/>
      <c r="E56" s="111"/>
      <c r="F56" s="112"/>
      <c r="G56" s="94"/>
      <c r="H56" s="95"/>
    </row>
    <row r="57" spans="1:8" ht="24.75">
      <c r="A57" s="478" t="s">
        <v>145</v>
      </c>
      <c r="B57" s="104">
        <v>997013501</v>
      </c>
      <c r="C57" s="109" t="s">
        <v>161</v>
      </c>
      <c r="D57" s="110" t="s">
        <v>157</v>
      </c>
      <c r="E57" s="111">
        <f>E55</f>
        <v>0.5900000000000001</v>
      </c>
      <c r="F57" s="112">
        <v>0</v>
      </c>
      <c r="G57" s="94">
        <f>E57*F57</f>
        <v>0</v>
      </c>
      <c r="H57" s="95"/>
    </row>
    <row r="58" spans="1:8" ht="36.75">
      <c r="A58" s="478" t="s">
        <v>147</v>
      </c>
      <c r="B58" s="104">
        <v>997013509</v>
      </c>
      <c r="C58" s="109" t="s">
        <v>163</v>
      </c>
      <c r="D58" s="110" t="s">
        <v>157</v>
      </c>
      <c r="E58" s="111">
        <f>E55</f>
        <v>0.5900000000000001</v>
      </c>
      <c r="F58" s="112">
        <v>0</v>
      </c>
      <c r="G58" s="94">
        <f>E58*F58</f>
        <v>0</v>
      </c>
      <c r="H58" s="95"/>
    </row>
    <row r="59" spans="1:8" ht="36.75">
      <c r="A59" s="478" t="s">
        <v>150</v>
      </c>
      <c r="B59" s="104">
        <v>469973114</v>
      </c>
      <c r="C59" s="109" t="s">
        <v>165</v>
      </c>
      <c r="D59" s="110" t="s">
        <v>157</v>
      </c>
      <c r="E59" s="111">
        <f>0.55+0.03</f>
        <v>0.5800000000000001</v>
      </c>
      <c r="F59" s="112">
        <v>0</v>
      </c>
      <c r="G59" s="94">
        <f>E59*F59</f>
        <v>0</v>
      </c>
      <c r="H59" s="95"/>
    </row>
    <row r="60" spans="1:8" ht="15">
      <c r="A60" s="478" t="s">
        <v>152</v>
      </c>
      <c r="B60" s="113"/>
      <c r="C60" s="114"/>
      <c r="D60" s="115"/>
      <c r="E60" s="116"/>
      <c r="F60" s="117"/>
      <c r="G60" s="118"/>
      <c r="H60" s="119"/>
    </row>
    <row r="61" spans="1:8" ht="15">
      <c r="A61" s="478" t="s">
        <v>153</v>
      </c>
      <c r="B61" s="113"/>
      <c r="C61" s="120" t="s">
        <v>170</v>
      </c>
      <c r="D61" s="88" t="s">
        <v>51</v>
      </c>
      <c r="E61" s="89" t="s">
        <v>124</v>
      </c>
      <c r="F61" s="90"/>
      <c r="G61" s="91">
        <f>SUM(G62:G67)</f>
        <v>0</v>
      </c>
      <c r="H61" s="92">
        <f>SUM(H62:H67)</f>
        <v>0.49791415</v>
      </c>
    </row>
    <row r="62" spans="1:8" ht="24.75">
      <c r="A62" s="478" t="s">
        <v>155</v>
      </c>
      <c r="B62" s="113">
        <v>612135101</v>
      </c>
      <c r="C62" s="121" t="s">
        <v>473</v>
      </c>
      <c r="D62" s="115" t="s">
        <v>130</v>
      </c>
      <c r="E62" s="116">
        <f>0.1*30</f>
        <v>3</v>
      </c>
      <c r="F62" s="117">
        <v>0</v>
      </c>
      <c r="G62" s="94">
        <f aca="true" t="shared" si="0" ref="G62:G67">E62*F62</f>
        <v>0</v>
      </c>
      <c r="H62" s="122">
        <f>0.056*E62</f>
        <v>0.168</v>
      </c>
    </row>
    <row r="63" spans="1:8" ht="24.75">
      <c r="A63" s="478" t="s">
        <v>158</v>
      </c>
      <c r="B63" s="113">
        <v>612325121</v>
      </c>
      <c r="C63" s="121" t="s">
        <v>474</v>
      </c>
      <c r="D63" s="115" t="s">
        <v>130</v>
      </c>
      <c r="E63" s="116">
        <f>0.15*(30)</f>
        <v>4.5</v>
      </c>
      <c r="F63" s="117">
        <v>0</v>
      </c>
      <c r="G63" s="94">
        <f t="shared" si="0"/>
        <v>0</v>
      </c>
      <c r="H63" s="122">
        <f>0.04153*E63</f>
        <v>0.186885</v>
      </c>
    </row>
    <row r="64" spans="1:8" ht="24.75">
      <c r="A64" s="478" t="s">
        <v>160</v>
      </c>
      <c r="B64" s="113">
        <v>612315222</v>
      </c>
      <c r="C64" s="121" t="s">
        <v>458</v>
      </c>
      <c r="D64" s="115" t="s">
        <v>127</v>
      </c>
      <c r="E64" s="116">
        <v>6</v>
      </c>
      <c r="F64" s="117">
        <v>0</v>
      </c>
      <c r="G64" s="94">
        <f t="shared" si="0"/>
        <v>0</v>
      </c>
      <c r="H64" s="122">
        <f>0.01*E64</f>
        <v>0.06</v>
      </c>
    </row>
    <row r="65" spans="1:8" ht="36.75">
      <c r="A65" s="478" t="s">
        <v>162</v>
      </c>
      <c r="B65" s="113" t="s">
        <v>178</v>
      </c>
      <c r="C65" s="121" t="s">
        <v>475</v>
      </c>
      <c r="D65" s="115" t="s">
        <v>180</v>
      </c>
      <c r="E65" s="116">
        <v>1</v>
      </c>
      <c r="F65" s="117">
        <v>0</v>
      </c>
      <c r="G65" s="94">
        <f t="shared" si="0"/>
        <v>0</v>
      </c>
      <c r="H65" s="122">
        <f>0.08</f>
        <v>0.08</v>
      </c>
    </row>
    <row r="66" spans="1:8" ht="48.75">
      <c r="A66" s="478" t="s">
        <v>164</v>
      </c>
      <c r="B66" s="113">
        <v>952901111</v>
      </c>
      <c r="C66" s="121" t="s">
        <v>476</v>
      </c>
      <c r="D66" s="115"/>
      <c r="E66" s="116">
        <f>E50</f>
        <v>75.72875</v>
      </c>
      <c r="F66" s="117">
        <v>0</v>
      </c>
      <c r="G66" s="94">
        <f t="shared" si="0"/>
        <v>0</v>
      </c>
      <c r="H66" s="122">
        <f>0.00004*E66</f>
        <v>0.0030291500000000004</v>
      </c>
    </row>
    <row r="67" spans="1:8" ht="15">
      <c r="A67" s="478" t="s">
        <v>166</v>
      </c>
      <c r="B67" s="113">
        <v>998011002</v>
      </c>
      <c r="C67" s="123" t="s">
        <v>184</v>
      </c>
      <c r="D67" s="115" t="s">
        <v>157</v>
      </c>
      <c r="E67" s="116">
        <f>SUM(H62:H66)</f>
        <v>0.49791415</v>
      </c>
      <c r="F67" s="117">
        <v>0</v>
      </c>
      <c r="G67" s="94">
        <f t="shared" si="0"/>
        <v>0</v>
      </c>
      <c r="H67" s="119"/>
    </row>
    <row r="68" spans="1:8" ht="15">
      <c r="A68" s="478" t="s">
        <v>168</v>
      </c>
      <c r="B68" s="113"/>
      <c r="C68" s="114"/>
      <c r="D68" s="115"/>
      <c r="E68" s="116"/>
      <c r="F68" s="117"/>
      <c r="G68" s="118"/>
      <c r="H68" s="119"/>
    </row>
    <row r="69" spans="1:8" ht="15">
      <c r="A69" s="478" t="s">
        <v>169</v>
      </c>
      <c r="B69" s="113"/>
      <c r="C69" s="120" t="s">
        <v>229</v>
      </c>
      <c r="D69" s="125" t="s">
        <v>51</v>
      </c>
      <c r="E69" s="131" t="s">
        <v>124</v>
      </c>
      <c r="F69" s="117"/>
      <c r="G69" s="127">
        <f>SUM(G70:G73)</f>
        <v>0</v>
      </c>
      <c r="H69" s="119"/>
    </row>
    <row r="70" spans="1:8" ht="72">
      <c r="A70" s="478" t="s">
        <v>171</v>
      </c>
      <c r="B70" s="113">
        <v>784121001</v>
      </c>
      <c r="C70" s="129" t="s">
        <v>477</v>
      </c>
      <c r="D70" s="115" t="s">
        <v>130</v>
      </c>
      <c r="E70" s="116">
        <f>(5.65*13.775)+(0.4+0.5)*2*3.3+3.9*2.2</f>
        <v>92.34875000000001</v>
      </c>
      <c r="F70" s="133">
        <v>0</v>
      </c>
      <c r="G70" s="118">
        <f>E70*F70</f>
        <v>0</v>
      </c>
      <c r="H70" s="119">
        <f>0.0003*E70</f>
        <v>0.027704625</v>
      </c>
    </row>
    <row r="71" spans="1:8" ht="36">
      <c r="A71" s="478" t="s">
        <v>173</v>
      </c>
      <c r="B71" s="113">
        <v>784111001</v>
      </c>
      <c r="C71" s="129" t="s">
        <v>233</v>
      </c>
      <c r="D71" s="115" t="s">
        <v>130</v>
      </c>
      <c r="E71" s="116">
        <f>E70</f>
        <v>92.34875000000001</v>
      </c>
      <c r="F71" s="133">
        <v>0</v>
      </c>
      <c r="G71" s="118">
        <f>E71*F71</f>
        <v>0</v>
      </c>
      <c r="H71" s="119">
        <v>0</v>
      </c>
    </row>
    <row r="72" spans="1:8" ht="36">
      <c r="A72" s="478" t="s">
        <v>175</v>
      </c>
      <c r="B72" s="113">
        <v>784181101</v>
      </c>
      <c r="C72" s="132" t="s">
        <v>235</v>
      </c>
      <c r="D72" s="115" t="s">
        <v>130</v>
      </c>
      <c r="E72" s="116">
        <f>E71</f>
        <v>92.34875000000001</v>
      </c>
      <c r="F72" s="133">
        <v>0</v>
      </c>
      <c r="G72" s="118">
        <f>E72*F72</f>
        <v>0</v>
      </c>
      <c r="H72" s="119"/>
    </row>
    <row r="73" spans="1:8" ht="57.75">
      <c r="A73" s="478" t="s">
        <v>177</v>
      </c>
      <c r="B73" s="113">
        <v>784221101</v>
      </c>
      <c r="C73" s="130" t="s">
        <v>478</v>
      </c>
      <c r="D73" s="115" t="s">
        <v>130</v>
      </c>
      <c r="E73" s="116">
        <f>E70</f>
        <v>92.34875000000001</v>
      </c>
      <c r="F73" s="133">
        <v>0</v>
      </c>
      <c r="G73" s="118">
        <f>E73*F73</f>
        <v>0</v>
      </c>
      <c r="H73" s="119"/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44" sqref="E44"/>
    </sheetView>
  </sheetViews>
  <sheetFormatPr defaultColWidth="9.140625" defaultRowHeight="15"/>
  <cols>
    <col min="1" max="1" width="14.00390625" style="0" customWidth="1"/>
    <col min="2" max="2" width="62.2812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484" t="s">
        <v>315</v>
      </c>
      <c r="B2" s="485"/>
      <c r="C2" s="485"/>
      <c r="D2" s="485"/>
      <c r="E2" s="485"/>
      <c r="F2" s="485"/>
      <c r="G2" s="486"/>
      <c r="H2" s="486"/>
    </row>
    <row r="3" spans="1:8" ht="16.5">
      <c r="A3" s="487" t="s">
        <v>316</v>
      </c>
      <c r="B3" s="488" t="s">
        <v>317</v>
      </c>
      <c r="C3" s="487" t="s">
        <v>127</v>
      </c>
      <c r="D3" s="487">
        <v>3</v>
      </c>
      <c r="E3" s="314">
        <v>0</v>
      </c>
      <c r="F3" s="489">
        <f>D3*E3</f>
        <v>0</v>
      </c>
      <c r="G3" s="314">
        <v>0</v>
      </c>
      <c r="H3" s="489">
        <f>D3*G3</f>
        <v>0</v>
      </c>
    </row>
    <row r="4" spans="1:8" ht="16.5">
      <c r="A4" s="487" t="s">
        <v>318</v>
      </c>
      <c r="B4" s="488" t="s">
        <v>319</v>
      </c>
      <c r="C4" s="487" t="s">
        <v>127</v>
      </c>
      <c r="D4" s="487">
        <v>3</v>
      </c>
      <c r="E4" s="314">
        <v>0</v>
      </c>
      <c r="F4" s="489">
        <f>D4*E4</f>
        <v>0</v>
      </c>
      <c r="G4" s="314">
        <v>0</v>
      </c>
      <c r="H4" s="489">
        <f>D4*G4</f>
        <v>0</v>
      </c>
    </row>
    <row r="5" spans="1:8" ht="16.5">
      <c r="A5" s="487" t="s">
        <v>320</v>
      </c>
      <c r="B5" s="488" t="s">
        <v>323</v>
      </c>
      <c r="C5" s="487" t="s">
        <v>180</v>
      </c>
      <c r="D5" s="487">
        <v>1</v>
      </c>
      <c r="E5" s="314">
        <v>0</v>
      </c>
      <c r="F5" s="489">
        <f>D5*E5</f>
        <v>0</v>
      </c>
      <c r="G5" s="314"/>
      <c r="H5" s="489">
        <f>D5*G5</f>
        <v>0</v>
      </c>
    </row>
    <row r="6" spans="1:8" ht="16.5">
      <c r="A6" s="487" t="s">
        <v>322</v>
      </c>
      <c r="B6" s="488" t="s">
        <v>325</v>
      </c>
      <c r="C6" s="487" t="s">
        <v>180</v>
      </c>
      <c r="D6" s="487">
        <v>1</v>
      </c>
      <c r="E6" s="314"/>
      <c r="F6" s="489">
        <f>D6*E6</f>
        <v>0</v>
      </c>
      <c r="G6" s="314">
        <v>0</v>
      </c>
      <c r="H6" s="489">
        <f>D6*G6</f>
        <v>0</v>
      </c>
    </row>
    <row r="7" spans="1:8" ht="16.5">
      <c r="A7" s="487" t="s">
        <v>324</v>
      </c>
      <c r="B7" s="488" t="s">
        <v>327</v>
      </c>
      <c r="C7" s="487" t="s">
        <v>180</v>
      </c>
      <c r="D7" s="487">
        <v>1</v>
      </c>
      <c r="E7" s="314"/>
      <c r="F7" s="489">
        <f>D7*E7</f>
        <v>0</v>
      </c>
      <c r="G7" s="314">
        <v>0</v>
      </c>
      <c r="H7" s="489">
        <f>D7*G7</f>
        <v>0</v>
      </c>
    </row>
    <row r="8" spans="1:8" ht="16.5">
      <c r="A8" s="487"/>
      <c r="B8" s="490" t="s">
        <v>328</v>
      </c>
      <c r="C8" s="491"/>
      <c r="D8" s="491"/>
      <c r="E8" s="318"/>
      <c r="F8" s="492">
        <f>SUM(F3:F7)</f>
        <v>0</v>
      </c>
      <c r="G8" s="320"/>
      <c r="H8" s="492">
        <f>SUM(H3:H7)</f>
        <v>0</v>
      </c>
    </row>
    <row r="9" spans="1:8" ht="15.75">
      <c r="A9" s="484" t="s">
        <v>329</v>
      </c>
      <c r="B9" s="485"/>
      <c r="C9" s="485"/>
      <c r="D9" s="485"/>
      <c r="E9" s="485"/>
      <c r="F9" s="485"/>
      <c r="G9" s="486"/>
      <c r="H9" s="486"/>
    </row>
    <row r="10" spans="1:8" ht="16.5">
      <c r="A10" s="487" t="s">
        <v>326</v>
      </c>
      <c r="B10" s="488" t="s">
        <v>331</v>
      </c>
      <c r="C10" s="487" t="s">
        <v>127</v>
      </c>
      <c r="D10" s="487">
        <v>1</v>
      </c>
      <c r="E10" s="314">
        <v>0</v>
      </c>
      <c r="F10" s="489">
        <f>D10*E10</f>
        <v>0</v>
      </c>
      <c r="G10" s="314">
        <v>0</v>
      </c>
      <c r="H10" s="489">
        <f>D10*G10</f>
        <v>0</v>
      </c>
    </row>
    <row r="11" spans="1:8" ht="16.5">
      <c r="A11" s="487" t="s">
        <v>330</v>
      </c>
      <c r="B11" s="488" t="s">
        <v>325</v>
      </c>
      <c r="C11" s="493" t="s">
        <v>180</v>
      </c>
      <c r="D11" s="487">
        <v>1</v>
      </c>
      <c r="E11" s="314"/>
      <c r="F11" s="489">
        <f>D11*E11</f>
        <v>0</v>
      </c>
      <c r="G11" s="314">
        <v>0</v>
      </c>
      <c r="H11" s="489">
        <f>D11*G11</f>
        <v>0</v>
      </c>
    </row>
    <row r="12" spans="1:8" ht="16.5">
      <c r="A12" s="487" t="s">
        <v>332</v>
      </c>
      <c r="B12" s="488" t="s">
        <v>334</v>
      </c>
      <c r="C12" s="493" t="s">
        <v>180</v>
      </c>
      <c r="D12" s="487">
        <v>1</v>
      </c>
      <c r="E12" s="314">
        <v>0</v>
      </c>
      <c r="F12" s="489">
        <f>D12*E12</f>
        <v>0</v>
      </c>
      <c r="G12" s="314">
        <v>0</v>
      </c>
      <c r="H12" s="489">
        <f>D12*G12</f>
        <v>0</v>
      </c>
    </row>
    <row r="13" spans="1:8" ht="15.75">
      <c r="A13" s="494"/>
      <c r="B13" s="490" t="s">
        <v>335</v>
      </c>
      <c r="C13" s="491"/>
      <c r="D13" s="491"/>
      <c r="E13" s="318"/>
      <c r="F13" s="492">
        <f>SUM(F10:F12)</f>
        <v>0</v>
      </c>
      <c r="G13" s="320"/>
      <c r="H13" s="492">
        <f>SUM(H10:H12)</f>
        <v>0</v>
      </c>
    </row>
    <row r="14" spans="1:8" ht="15.75">
      <c r="A14" s="484" t="s">
        <v>336</v>
      </c>
      <c r="B14" s="485"/>
      <c r="C14" s="485"/>
      <c r="D14" s="485"/>
      <c r="E14" s="485"/>
      <c r="F14" s="485"/>
      <c r="G14" s="486"/>
      <c r="H14" s="486"/>
    </row>
    <row r="15" spans="1:8" ht="16.5">
      <c r="A15" s="487" t="s">
        <v>479</v>
      </c>
      <c r="B15" s="488" t="s">
        <v>480</v>
      </c>
      <c r="C15" s="487" t="s">
        <v>339</v>
      </c>
      <c r="D15" s="487">
        <v>60</v>
      </c>
      <c r="E15" s="314">
        <v>0</v>
      </c>
      <c r="F15" s="489">
        <f aca="true" t="shared" si="0" ref="F15:F21">D15*E15</f>
        <v>0</v>
      </c>
      <c r="G15" s="314">
        <v>0</v>
      </c>
      <c r="H15" s="489">
        <f aca="true" t="shared" si="1" ref="H15:H21">D15*G15</f>
        <v>0</v>
      </c>
    </row>
    <row r="16" spans="1:8" ht="16.5">
      <c r="A16" s="487" t="s">
        <v>337</v>
      </c>
      <c r="B16" s="488" t="s">
        <v>341</v>
      </c>
      <c r="C16" s="487" t="s">
        <v>339</v>
      </c>
      <c r="D16" s="487">
        <v>45</v>
      </c>
      <c r="E16" s="314">
        <v>0</v>
      </c>
      <c r="F16" s="489">
        <f t="shared" si="0"/>
        <v>0</v>
      </c>
      <c r="G16" s="314">
        <v>0</v>
      </c>
      <c r="H16" s="489">
        <f t="shared" si="1"/>
        <v>0</v>
      </c>
    </row>
    <row r="17" spans="1:8" ht="16.5">
      <c r="A17" s="487" t="s">
        <v>340</v>
      </c>
      <c r="B17" s="488" t="s">
        <v>343</v>
      </c>
      <c r="C17" s="487" t="s">
        <v>339</v>
      </c>
      <c r="D17" s="487">
        <v>15</v>
      </c>
      <c r="E17" s="314">
        <v>0</v>
      </c>
      <c r="F17" s="489">
        <f t="shared" si="0"/>
        <v>0</v>
      </c>
      <c r="G17" s="314">
        <v>0</v>
      </c>
      <c r="H17" s="489">
        <f t="shared" si="1"/>
        <v>0</v>
      </c>
    </row>
    <row r="18" spans="1:8" ht="16.5">
      <c r="A18" s="487" t="s">
        <v>342</v>
      </c>
      <c r="B18" s="488" t="s">
        <v>347</v>
      </c>
      <c r="C18" s="487" t="s">
        <v>127</v>
      </c>
      <c r="D18" s="487">
        <v>1</v>
      </c>
      <c r="E18" s="314">
        <v>0</v>
      </c>
      <c r="F18" s="489">
        <f t="shared" si="0"/>
        <v>0</v>
      </c>
      <c r="G18" s="314">
        <v>0</v>
      </c>
      <c r="H18" s="489">
        <f t="shared" si="1"/>
        <v>0</v>
      </c>
    </row>
    <row r="19" spans="1:8" ht="16.5">
      <c r="A19" s="487" t="s">
        <v>344</v>
      </c>
      <c r="B19" s="488" t="s">
        <v>349</v>
      </c>
      <c r="C19" s="493" t="s">
        <v>180</v>
      </c>
      <c r="D19" s="487">
        <v>1</v>
      </c>
      <c r="E19" s="314">
        <v>0</v>
      </c>
      <c r="F19" s="489">
        <f t="shared" si="0"/>
        <v>0</v>
      </c>
      <c r="G19" s="314"/>
      <c r="H19" s="489">
        <f t="shared" si="1"/>
        <v>0</v>
      </c>
    </row>
    <row r="20" spans="1:8" ht="16.5">
      <c r="A20" s="487" t="s">
        <v>346</v>
      </c>
      <c r="B20" s="488" t="s">
        <v>351</v>
      </c>
      <c r="C20" s="493" t="s">
        <v>180</v>
      </c>
      <c r="D20" s="487">
        <v>1</v>
      </c>
      <c r="E20" s="314"/>
      <c r="F20" s="489">
        <f t="shared" si="0"/>
        <v>0</v>
      </c>
      <c r="G20" s="314">
        <v>0</v>
      </c>
      <c r="H20" s="489">
        <f t="shared" si="1"/>
        <v>0</v>
      </c>
    </row>
    <row r="21" spans="1:8" ht="16.5">
      <c r="A21" s="487" t="s">
        <v>348</v>
      </c>
      <c r="B21" s="488" t="s">
        <v>325</v>
      </c>
      <c r="C21" s="493" t="s">
        <v>180</v>
      </c>
      <c r="D21" s="487">
        <v>1</v>
      </c>
      <c r="E21" s="314"/>
      <c r="F21" s="489">
        <f t="shared" si="0"/>
        <v>0</v>
      </c>
      <c r="G21" s="314">
        <v>0</v>
      </c>
      <c r="H21" s="489">
        <f t="shared" si="1"/>
        <v>0</v>
      </c>
    </row>
    <row r="22" spans="1:8" ht="16.5">
      <c r="A22" s="494"/>
      <c r="B22" s="490" t="s">
        <v>353</v>
      </c>
      <c r="C22" s="491"/>
      <c r="D22" s="491"/>
      <c r="E22" s="318"/>
      <c r="F22" s="492">
        <f>SUM(F15:F21)</f>
        <v>0</v>
      </c>
      <c r="G22" s="314"/>
      <c r="H22" s="492">
        <f>SUM(H15:H21)</f>
        <v>0</v>
      </c>
    </row>
    <row r="23" spans="1:8" ht="15.75">
      <c r="A23" s="484" t="s">
        <v>354</v>
      </c>
      <c r="B23" s="485"/>
      <c r="C23" s="485"/>
      <c r="D23" s="485"/>
      <c r="E23" s="485"/>
      <c r="F23" s="485"/>
      <c r="G23" s="496"/>
      <c r="H23" s="496"/>
    </row>
    <row r="24" spans="1:8" ht="16.5">
      <c r="A24" s="487" t="s">
        <v>350</v>
      </c>
      <c r="B24" s="488" t="s">
        <v>356</v>
      </c>
      <c r="C24" s="487" t="s">
        <v>127</v>
      </c>
      <c r="D24" s="487">
        <v>1</v>
      </c>
      <c r="E24" s="325">
        <v>0</v>
      </c>
      <c r="F24" s="489">
        <f>D24*E24</f>
        <v>0</v>
      </c>
      <c r="G24" s="325"/>
      <c r="H24" s="489">
        <f>D24*G24</f>
        <v>0</v>
      </c>
    </row>
    <row r="25" spans="1:8" ht="15.75">
      <c r="A25" s="497"/>
      <c r="B25" s="498" t="s">
        <v>357</v>
      </c>
      <c r="C25" s="499"/>
      <c r="D25" s="499"/>
      <c r="E25" s="500"/>
      <c r="F25" s="501">
        <f>+F22+F13+F8+F24</f>
        <v>0</v>
      </c>
      <c r="G25" s="497"/>
      <c r="H25" s="501">
        <f>+H22+H13+H8+H24</f>
        <v>0</v>
      </c>
    </row>
    <row r="26" spans="1:8" ht="16.5">
      <c r="A26" s="502"/>
      <c r="B26" s="502"/>
      <c r="C26" s="502"/>
      <c r="D26" s="502"/>
      <c r="E26" s="502"/>
      <c r="F26" s="503" t="s">
        <v>358</v>
      </c>
      <c r="G26" s="504"/>
      <c r="H26" s="505" t="s">
        <v>359</v>
      </c>
    </row>
    <row r="27" spans="1:8" ht="21">
      <c r="A27" s="506" t="s">
        <v>357</v>
      </c>
      <c r="B27" s="506"/>
      <c r="C27" s="507">
        <f>SUM(F25,H25)</f>
        <v>0</v>
      </c>
      <c r="D27" s="508"/>
      <c r="E27" s="508"/>
      <c r="F27" s="502"/>
      <c r="G27" s="504"/>
      <c r="H27" s="509"/>
    </row>
  </sheetData>
  <mergeCells count="6">
    <mergeCell ref="A2:H2"/>
    <mergeCell ref="A9:H9"/>
    <mergeCell ref="A14:H14"/>
    <mergeCell ref="A23:H23"/>
    <mergeCell ref="A27:B27"/>
    <mergeCell ref="C27:E27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E32" sqref="E32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78.00390625" style="0" customWidth="1"/>
    <col min="4" max="4" width="15.8515625" style="0" customWidth="1"/>
    <col min="5" max="5" width="14.8515625" style="0" customWidth="1"/>
    <col min="6" max="6" width="9.28125" style="0" customWidth="1"/>
    <col min="7" max="7" width="19.85156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481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SUM(G12:G28)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26.2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482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1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1</v>
      </c>
      <c r="F13" s="402">
        <v>0</v>
      </c>
      <c r="G13" s="403">
        <f>F13*E13</f>
        <v>0</v>
      </c>
    </row>
    <row r="14" spans="1:7" ht="16.5">
      <c r="A14" s="359">
        <v>3</v>
      </c>
      <c r="B14" s="395"/>
      <c r="C14" s="404" t="s">
        <v>372</v>
      </c>
      <c r="D14" s="401" t="s">
        <v>127</v>
      </c>
      <c r="E14" s="359">
        <v>3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450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110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90</v>
      </c>
      <c r="F19" s="408">
        <v>0</v>
      </c>
      <c r="G19" s="403">
        <f>F19*E19</f>
        <v>0</v>
      </c>
    </row>
    <row r="20" spans="1:7" ht="17.25" thickBot="1">
      <c r="A20" s="395"/>
      <c r="B20" s="409"/>
      <c r="C20" s="407"/>
      <c r="D20" s="401"/>
      <c r="E20" s="401"/>
      <c r="F20" s="408"/>
      <c r="G20" s="403"/>
    </row>
    <row r="21" spans="1:7" ht="17.25" thickBot="1">
      <c r="A21" s="359"/>
      <c r="B21" s="395"/>
      <c r="C21" s="396" t="s">
        <v>377</v>
      </c>
      <c r="D21" s="397"/>
      <c r="E21" s="359"/>
      <c r="F21" s="408"/>
      <c r="G21" s="403"/>
    </row>
    <row r="22" spans="1:7" ht="16.5">
      <c r="A22" s="395">
        <v>7</v>
      </c>
      <c r="B22" s="409"/>
      <c r="C22" s="407" t="s">
        <v>378</v>
      </c>
      <c r="D22" s="401" t="s">
        <v>180</v>
      </c>
      <c r="E22" s="401">
        <v>1</v>
      </c>
      <c r="F22" s="408">
        <v>0</v>
      </c>
      <c r="G22" s="403">
        <f aca="true" t="shared" si="0" ref="G22:G27">F22*E22</f>
        <v>0</v>
      </c>
    </row>
    <row r="23" spans="1:7" ht="16.5">
      <c r="A23" s="395">
        <v>8</v>
      </c>
      <c r="B23" s="409"/>
      <c r="C23" s="407" t="s">
        <v>379</v>
      </c>
      <c r="D23" s="401" t="s">
        <v>180</v>
      </c>
      <c r="E23" s="401">
        <v>1</v>
      </c>
      <c r="F23" s="408">
        <v>0</v>
      </c>
      <c r="G23" s="403">
        <f t="shared" si="0"/>
        <v>0</v>
      </c>
    </row>
    <row r="24" spans="1:7" ht="16.5">
      <c r="A24" s="395">
        <v>9</v>
      </c>
      <c r="B24" s="409"/>
      <c r="C24" s="407" t="s">
        <v>380</v>
      </c>
      <c r="D24" s="401" t="s">
        <v>381</v>
      </c>
      <c r="E24" s="401">
        <v>10</v>
      </c>
      <c r="F24" s="408">
        <v>0</v>
      </c>
      <c r="G24" s="403">
        <f t="shared" si="0"/>
        <v>0</v>
      </c>
    </row>
    <row r="25" spans="1:7" ht="16.5">
      <c r="A25" s="395">
        <v>10</v>
      </c>
      <c r="B25" s="409"/>
      <c r="C25" s="407" t="s">
        <v>382</v>
      </c>
      <c r="D25" s="401" t="s">
        <v>127</v>
      </c>
      <c r="E25" s="401">
        <f>E13*6</f>
        <v>6</v>
      </c>
      <c r="F25" s="408">
        <v>0</v>
      </c>
      <c r="G25" s="403">
        <f t="shared" si="0"/>
        <v>0</v>
      </c>
    </row>
    <row r="26" spans="1:7" ht="16.5">
      <c r="A26" s="395">
        <v>11</v>
      </c>
      <c r="B26" s="409"/>
      <c r="C26" s="407" t="s">
        <v>383</v>
      </c>
      <c r="D26" s="401" t="s">
        <v>127</v>
      </c>
      <c r="E26" s="401">
        <f>E25</f>
        <v>6</v>
      </c>
      <c r="F26" s="408">
        <v>0</v>
      </c>
      <c r="G26" s="403">
        <f t="shared" si="0"/>
        <v>0</v>
      </c>
    </row>
    <row r="27" spans="1:7" ht="16.5">
      <c r="A27" s="395">
        <v>12</v>
      </c>
      <c r="B27" s="409"/>
      <c r="C27" s="407" t="s">
        <v>384</v>
      </c>
      <c r="D27" s="401" t="s">
        <v>180</v>
      </c>
      <c r="E27" s="401">
        <v>1</v>
      </c>
      <c r="F27" s="408">
        <v>0</v>
      </c>
      <c r="G27" s="403">
        <f t="shared" si="0"/>
        <v>0</v>
      </c>
    </row>
    <row r="28" spans="1:7" ht="16.5">
      <c r="A28" s="395"/>
      <c r="B28" s="409"/>
      <c r="C28" s="407"/>
      <c r="D28" s="401"/>
      <c r="E28" s="401"/>
      <c r="F28" s="408"/>
      <c r="G28" s="403"/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 topLeftCell="A49">
      <selection activeCell="M19" sqref="M19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65.00390625" style="0" customWidth="1"/>
  </cols>
  <sheetData>
    <row r="1" spans="1:8" ht="48" customHeight="1">
      <c r="A1" s="474"/>
      <c r="B1" s="45"/>
      <c r="C1" s="514" t="s">
        <v>46</v>
      </c>
      <c r="D1" s="50"/>
      <c r="E1" s="475"/>
      <c r="F1" s="47"/>
      <c r="G1" s="48"/>
      <c r="H1" s="49"/>
    </row>
    <row r="2" spans="1:8" ht="15">
      <c r="A2" s="474"/>
      <c r="B2" s="45"/>
      <c r="C2" s="50" t="s">
        <v>32</v>
      </c>
      <c r="D2" s="50"/>
      <c r="E2" s="475"/>
      <c r="F2" s="47"/>
      <c r="G2" s="48"/>
      <c r="H2" s="49"/>
    </row>
    <row r="3" spans="1:8" ht="36">
      <c r="A3" s="474"/>
      <c r="B3" s="45"/>
      <c r="C3" s="515" t="s">
        <v>45</v>
      </c>
      <c r="D3" s="50"/>
      <c r="E3" s="475"/>
      <c r="F3" s="47"/>
      <c r="G3" s="48"/>
      <c r="H3" s="49"/>
    </row>
    <row r="4" spans="1:8" ht="15">
      <c r="A4" s="474"/>
      <c r="B4" s="45"/>
      <c r="C4" s="51"/>
      <c r="D4" s="50"/>
      <c r="E4" s="475"/>
      <c r="F4" s="47"/>
      <c r="G4" s="48"/>
      <c r="H4" s="49"/>
    </row>
    <row r="5" spans="1:8" ht="48" customHeight="1">
      <c r="A5" s="474"/>
      <c r="B5" s="45"/>
      <c r="C5" s="517" t="s">
        <v>54</v>
      </c>
      <c r="D5" s="50"/>
      <c r="E5" s="475"/>
      <c r="F5" s="47"/>
      <c r="G5" s="48"/>
      <c r="H5" s="49"/>
    </row>
    <row r="6" spans="1:8" ht="15">
      <c r="A6" s="476"/>
      <c r="B6" s="53"/>
      <c r="C6" s="54"/>
      <c r="D6" s="277"/>
      <c r="E6" s="477"/>
      <c r="F6" s="57"/>
      <c r="G6" s="58"/>
      <c r="H6" s="59"/>
    </row>
    <row r="7" spans="1:8" ht="15">
      <c r="A7" s="474"/>
      <c r="B7" s="45"/>
      <c r="C7" s="50" t="s">
        <v>33</v>
      </c>
      <c r="D7" s="50"/>
      <c r="E7" s="475"/>
      <c r="F7" s="47"/>
      <c r="G7" s="48"/>
      <c r="H7" s="49"/>
    </row>
    <row r="8" spans="1:8" ht="24.75">
      <c r="A8" s="474"/>
      <c r="B8" s="45"/>
      <c r="C8" s="60" t="s">
        <v>47</v>
      </c>
      <c r="D8" s="50"/>
      <c r="E8" s="475"/>
      <c r="F8" s="47"/>
      <c r="G8" s="48"/>
      <c r="H8" s="49"/>
    </row>
    <row r="9" spans="1:8" ht="15">
      <c r="A9" s="474"/>
      <c r="B9" s="45"/>
      <c r="C9" s="61"/>
      <c r="D9" s="50"/>
      <c r="E9" s="475"/>
      <c r="F9" s="47"/>
      <c r="G9" s="48"/>
      <c r="H9" s="49"/>
    </row>
    <row r="10" spans="1:8" ht="15">
      <c r="A10" s="474"/>
      <c r="B10" s="45"/>
      <c r="C10" s="61"/>
      <c r="D10" s="50"/>
      <c r="E10" s="475"/>
      <c r="F10" s="47"/>
      <c r="G10" s="48"/>
      <c r="H10" s="49"/>
    </row>
    <row r="11" spans="1:8" ht="15">
      <c r="A11" s="474"/>
      <c r="B11" s="45"/>
      <c r="C11" s="61"/>
      <c r="D11" s="50"/>
      <c r="E11" s="475"/>
      <c r="F11" s="47"/>
      <c r="G11" s="48"/>
      <c r="H11" s="49"/>
    </row>
    <row r="12" spans="1:8" ht="15">
      <c r="A12" s="476"/>
      <c r="B12" s="53"/>
      <c r="C12" s="62"/>
      <c r="D12" s="277"/>
      <c r="E12" s="477"/>
      <c r="F12" s="57"/>
      <c r="G12" s="58"/>
      <c r="H12" s="59"/>
    </row>
    <row r="13" spans="1:8" ht="15">
      <c r="A13" s="476"/>
      <c r="B13" s="63"/>
      <c r="C13" s="64" t="s">
        <v>65</v>
      </c>
      <c r="D13" s="277"/>
      <c r="E13" s="477"/>
      <c r="F13" s="57"/>
      <c r="G13" s="65"/>
      <c r="H13" s="59"/>
    </row>
    <row r="14" spans="1:8" ht="15">
      <c r="A14" s="579" t="s">
        <v>66</v>
      </c>
      <c r="B14" s="153"/>
      <c r="C14" s="156" t="s">
        <v>49</v>
      </c>
      <c r="D14" s="145"/>
      <c r="E14" s="578"/>
      <c r="F14" s="147"/>
      <c r="G14" s="155"/>
      <c r="H14" s="59"/>
    </row>
    <row r="15" spans="1:8" ht="15">
      <c r="A15" s="579" t="s">
        <v>67</v>
      </c>
      <c r="B15" s="153"/>
      <c r="C15" s="157" t="s">
        <v>68</v>
      </c>
      <c r="D15" s="145" t="s">
        <v>51</v>
      </c>
      <c r="E15" s="578"/>
      <c r="F15" s="147"/>
      <c r="G15" s="155">
        <f>G45</f>
        <v>0</v>
      </c>
      <c r="H15" s="59"/>
    </row>
    <row r="16" spans="1:8" ht="15">
      <c r="A16" s="579" t="s">
        <v>69</v>
      </c>
      <c r="B16" s="144"/>
      <c r="C16" s="157" t="s">
        <v>467</v>
      </c>
      <c r="D16" s="145" t="s">
        <v>51</v>
      </c>
      <c r="E16" s="578"/>
      <c r="F16" s="147"/>
      <c r="G16" s="155">
        <f>G52</f>
        <v>0</v>
      </c>
      <c r="H16" s="59"/>
    </row>
    <row r="17" spans="1:8" ht="15">
      <c r="A17" s="579" t="s">
        <v>71</v>
      </c>
      <c r="B17" s="144"/>
      <c r="C17" s="214" t="s">
        <v>72</v>
      </c>
      <c r="D17" s="145" t="s">
        <v>51</v>
      </c>
      <c r="E17" s="578"/>
      <c r="F17" s="147"/>
      <c r="G17" s="155">
        <f>G61</f>
        <v>0</v>
      </c>
      <c r="H17" s="59"/>
    </row>
    <row r="18" spans="1:8" ht="15">
      <c r="A18" s="579" t="s">
        <v>73</v>
      </c>
      <c r="B18" s="144"/>
      <c r="C18" s="214" t="s">
        <v>80</v>
      </c>
      <c r="D18" s="145" t="s">
        <v>51</v>
      </c>
      <c r="E18" s="578"/>
      <c r="F18" s="147"/>
      <c r="G18" s="155">
        <f>G69</f>
        <v>0</v>
      </c>
      <c r="H18" s="59"/>
    </row>
    <row r="19" spans="1:8" ht="15">
      <c r="A19" s="579" t="s">
        <v>77</v>
      </c>
      <c r="B19" s="580"/>
      <c r="C19" s="160" t="s">
        <v>82</v>
      </c>
      <c r="D19" s="161" t="s">
        <v>51</v>
      </c>
      <c r="E19" s="581"/>
      <c r="F19" s="163"/>
      <c r="G19" s="159">
        <f>'[1]VV EL silnoproud NB 177b'!C27</f>
        <v>0</v>
      </c>
      <c r="H19" s="512"/>
    </row>
    <row r="20" spans="1:8" ht="15">
      <c r="A20" s="579" t="s">
        <v>79</v>
      </c>
      <c r="B20" s="144"/>
      <c r="C20" s="158" t="s">
        <v>84</v>
      </c>
      <c r="D20" s="145" t="s">
        <v>51</v>
      </c>
      <c r="E20" s="578"/>
      <c r="F20" s="147"/>
      <c r="G20" s="159">
        <f>'[1]VV EL slaboproud NB 177b'!G5</f>
        <v>0</v>
      </c>
      <c r="H20" s="70"/>
    </row>
    <row r="21" spans="1:8" ht="15">
      <c r="A21" s="579" t="s">
        <v>81</v>
      </c>
      <c r="B21" s="582"/>
      <c r="C21" s="583"/>
      <c r="D21" s="584"/>
      <c r="E21" s="585"/>
      <c r="F21" s="586"/>
      <c r="G21" s="587"/>
      <c r="H21" s="512"/>
    </row>
    <row r="22" spans="1:8" ht="15">
      <c r="A22" s="579" t="s">
        <v>83</v>
      </c>
      <c r="B22" s="582"/>
      <c r="C22" s="583"/>
      <c r="D22" s="584"/>
      <c r="E22" s="585"/>
      <c r="F22" s="586"/>
      <c r="G22" s="587"/>
      <c r="H22" s="512"/>
    </row>
    <row r="23" spans="1:8" ht="15">
      <c r="A23" s="579" t="s">
        <v>85</v>
      </c>
      <c r="B23" s="144"/>
      <c r="C23" s="152" t="s">
        <v>58</v>
      </c>
      <c r="D23" s="145" t="s">
        <v>51</v>
      </c>
      <c r="E23" s="578"/>
      <c r="F23" s="147"/>
      <c r="G23" s="148">
        <f>SUM(G15:G20)</f>
        <v>0</v>
      </c>
      <c r="H23" s="59"/>
    </row>
    <row r="24" spans="1:8" ht="15">
      <c r="A24" s="579" t="s">
        <v>87</v>
      </c>
      <c r="B24" s="144"/>
      <c r="C24" s="156" t="s">
        <v>59</v>
      </c>
      <c r="D24" s="145"/>
      <c r="E24" s="578"/>
      <c r="F24" s="147"/>
      <c r="G24" s="165"/>
      <c r="H24" s="59"/>
    </row>
    <row r="25" spans="1:8" ht="15">
      <c r="A25" s="579" t="s">
        <v>88</v>
      </c>
      <c r="B25" s="144"/>
      <c r="C25" s="164" t="s">
        <v>60</v>
      </c>
      <c r="D25" s="145" t="s">
        <v>51</v>
      </c>
      <c r="E25" s="578"/>
      <c r="F25" s="147"/>
      <c r="G25" s="155">
        <f>G23*0.025</f>
        <v>0</v>
      </c>
      <c r="H25" s="59"/>
    </row>
    <row r="26" spans="1:8" ht="15">
      <c r="A26" s="579" t="s">
        <v>89</v>
      </c>
      <c r="B26" s="144"/>
      <c r="C26" s="164"/>
      <c r="D26" s="145"/>
      <c r="E26" s="578"/>
      <c r="F26" s="147"/>
      <c r="G26" s="155"/>
      <c r="H26" s="59"/>
    </row>
    <row r="27" spans="1:8" ht="15">
      <c r="A27" s="579" t="s">
        <v>90</v>
      </c>
      <c r="B27" s="144"/>
      <c r="C27" s="164"/>
      <c r="D27" s="145"/>
      <c r="E27" s="578"/>
      <c r="F27" s="147"/>
      <c r="G27" s="155"/>
      <c r="H27" s="59"/>
    </row>
    <row r="28" spans="1:8" ht="15">
      <c r="A28" s="579" t="s">
        <v>91</v>
      </c>
      <c r="B28" s="144"/>
      <c r="C28" s="166" t="s">
        <v>61</v>
      </c>
      <c r="D28" s="145" t="s">
        <v>51</v>
      </c>
      <c r="E28" s="578"/>
      <c r="F28" s="147"/>
      <c r="G28" s="148">
        <f>SUM(G23:G27)</f>
        <v>0</v>
      </c>
      <c r="H28" s="59"/>
    </row>
    <row r="29" spans="1:8" ht="15">
      <c r="A29" s="579" t="s">
        <v>92</v>
      </c>
      <c r="B29" s="144"/>
      <c r="C29" s="164"/>
      <c r="D29" s="145"/>
      <c r="E29" s="578"/>
      <c r="F29" s="147"/>
      <c r="G29" s="155"/>
      <c r="H29" s="59"/>
    </row>
    <row r="30" spans="1:8" ht="15">
      <c r="A30" s="579" t="s">
        <v>93</v>
      </c>
      <c r="B30" s="144"/>
      <c r="C30" s="164"/>
      <c r="D30" s="145"/>
      <c r="E30" s="578"/>
      <c r="F30" s="147"/>
      <c r="G30" s="155"/>
      <c r="H30" s="59"/>
    </row>
    <row r="31" spans="1:8" ht="15">
      <c r="A31" s="579" t="s">
        <v>94</v>
      </c>
      <c r="B31" s="144"/>
      <c r="C31" s="166" t="s">
        <v>62</v>
      </c>
      <c r="D31" s="145" t="s">
        <v>51</v>
      </c>
      <c r="E31" s="578"/>
      <c r="F31" s="147"/>
      <c r="G31" s="155">
        <f>G28*0.21</f>
        <v>0</v>
      </c>
      <c r="H31" s="59"/>
    </row>
    <row r="32" spans="1:8" ht="15">
      <c r="A32" s="579" t="s">
        <v>95</v>
      </c>
      <c r="B32" s="144"/>
      <c r="C32" s="166"/>
      <c r="D32" s="145"/>
      <c r="E32" s="578"/>
      <c r="F32" s="147"/>
      <c r="G32" s="155"/>
      <c r="H32" s="59"/>
    </row>
    <row r="33" spans="1:8" ht="15">
      <c r="A33" s="579" t="s">
        <v>96</v>
      </c>
      <c r="B33" s="144"/>
      <c r="C33" s="152" t="s">
        <v>63</v>
      </c>
      <c r="D33" s="145" t="s">
        <v>51</v>
      </c>
      <c r="E33" s="578"/>
      <c r="F33" s="147"/>
      <c r="G33" s="148">
        <f>SUM(G28:G32)</f>
        <v>0</v>
      </c>
      <c r="H33" s="59"/>
    </row>
    <row r="34" spans="1:8" ht="15">
      <c r="A34" s="478" t="s">
        <v>97</v>
      </c>
      <c r="B34" s="53"/>
      <c r="C34" s="62"/>
      <c r="D34" s="277"/>
      <c r="E34" s="477"/>
      <c r="F34" s="57"/>
      <c r="G34" s="58"/>
      <c r="H34" s="59"/>
    </row>
    <row r="35" spans="1:8" ht="15">
      <c r="A35" s="478" t="s">
        <v>98</v>
      </c>
      <c r="B35" s="53"/>
      <c r="C35" s="62"/>
      <c r="D35" s="277"/>
      <c r="E35" s="477"/>
      <c r="F35" s="57"/>
      <c r="G35" s="58"/>
      <c r="H35" s="59"/>
    </row>
    <row r="36" spans="1:8" ht="15">
      <c r="A36" s="478" t="s">
        <v>99</v>
      </c>
      <c r="B36" s="53"/>
      <c r="C36" s="62"/>
      <c r="D36" s="277"/>
      <c r="E36" s="477"/>
      <c r="F36" s="57"/>
      <c r="G36" s="58"/>
      <c r="H36" s="59"/>
    </row>
    <row r="37" spans="1:8" ht="15">
      <c r="A37" s="478" t="s">
        <v>100</v>
      </c>
      <c r="B37" s="53"/>
      <c r="C37" s="62"/>
      <c r="D37" s="277"/>
      <c r="E37" s="477"/>
      <c r="F37" s="57"/>
      <c r="G37" s="58"/>
      <c r="H37" s="59"/>
    </row>
    <row r="38" spans="1:8" ht="22.5">
      <c r="A38" s="478" t="s">
        <v>101</v>
      </c>
      <c r="B38" s="78" t="s">
        <v>105</v>
      </c>
      <c r="C38" s="78" t="s">
        <v>106</v>
      </c>
      <c r="D38" s="78" t="s">
        <v>107</v>
      </c>
      <c r="E38" s="480" t="s">
        <v>108</v>
      </c>
      <c r="F38" s="79" t="s">
        <v>109</v>
      </c>
      <c r="G38" s="80" t="s">
        <v>110</v>
      </c>
      <c r="H38" s="81" t="s">
        <v>111</v>
      </c>
    </row>
    <row r="39" spans="1:9" ht="76.5">
      <c r="A39" s="579" t="s">
        <v>102</v>
      </c>
      <c r="B39" s="144"/>
      <c r="C39" s="171" t="s">
        <v>113</v>
      </c>
      <c r="D39" s="145"/>
      <c r="E39" s="578"/>
      <c r="F39" s="147"/>
      <c r="G39" s="155"/>
      <c r="H39" s="149"/>
      <c r="I39" s="143"/>
    </row>
    <row r="40" spans="1:9" ht="26.25">
      <c r="A40" s="579" t="s">
        <v>103</v>
      </c>
      <c r="B40" s="144"/>
      <c r="C40" s="172" t="s">
        <v>115</v>
      </c>
      <c r="D40" s="145"/>
      <c r="E40" s="578"/>
      <c r="F40" s="147"/>
      <c r="G40" s="155"/>
      <c r="H40" s="149"/>
      <c r="I40" s="143"/>
    </row>
    <row r="41" spans="1:9" ht="26.25">
      <c r="A41" s="579" t="s">
        <v>104</v>
      </c>
      <c r="B41" s="144"/>
      <c r="C41" s="173" t="s">
        <v>117</v>
      </c>
      <c r="D41" s="145"/>
      <c r="E41" s="578"/>
      <c r="F41" s="147"/>
      <c r="G41" s="155"/>
      <c r="H41" s="149"/>
      <c r="I41" s="143"/>
    </row>
    <row r="42" spans="1:9" ht="15">
      <c r="A42" s="579" t="s">
        <v>112</v>
      </c>
      <c r="B42" s="144"/>
      <c r="C42" s="173"/>
      <c r="D42" s="145"/>
      <c r="E42" s="578"/>
      <c r="F42" s="147"/>
      <c r="G42" s="155"/>
      <c r="H42" s="149"/>
      <c r="I42" s="143"/>
    </row>
    <row r="43" spans="1:9" ht="15">
      <c r="A43" s="579" t="s">
        <v>114</v>
      </c>
      <c r="B43" s="144"/>
      <c r="C43" s="174" t="s">
        <v>483</v>
      </c>
      <c r="D43" s="145"/>
      <c r="E43" s="146"/>
      <c r="F43" s="147"/>
      <c r="G43" s="155"/>
      <c r="H43" s="149"/>
      <c r="I43" s="143"/>
    </row>
    <row r="44" spans="1:9" ht="15">
      <c r="A44" s="579" t="s">
        <v>116</v>
      </c>
      <c r="B44" s="144"/>
      <c r="C44" s="174"/>
      <c r="D44" s="145"/>
      <c r="E44" s="146"/>
      <c r="F44" s="147"/>
      <c r="G44" s="155"/>
      <c r="H44" s="149"/>
      <c r="I44" s="143"/>
    </row>
    <row r="45" spans="1:9" ht="15">
      <c r="A45" s="579" t="s">
        <v>118</v>
      </c>
      <c r="B45" s="175"/>
      <c r="C45" s="176" t="s">
        <v>123</v>
      </c>
      <c r="D45" s="177" t="s">
        <v>51</v>
      </c>
      <c r="E45" s="178" t="s">
        <v>124</v>
      </c>
      <c r="F45" s="179"/>
      <c r="G45" s="180">
        <f>SUM(G46:G50)</f>
        <v>0</v>
      </c>
      <c r="H45" s="178"/>
      <c r="I45" s="143"/>
    </row>
    <row r="46" spans="1:9" ht="26.25">
      <c r="A46" s="579" t="s">
        <v>119</v>
      </c>
      <c r="B46" s="184" t="s">
        <v>132</v>
      </c>
      <c r="C46" s="160" t="s">
        <v>241</v>
      </c>
      <c r="D46" s="181" t="s">
        <v>134</v>
      </c>
      <c r="E46" s="162">
        <v>1</v>
      </c>
      <c r="F46" s="163">
        <v>0</v>
      </c>
      <c r="G46" s="182">
        <f>E46*F46</f>
        <v>0</v>
      </c>
      <c r="H46" s="183"/>
      <c r="I46" s="143"/>
    </row>
    <row r="47" spans="1:9" ht="39">
      <c r="A47" s="579" t="s">
        <v>121</v>
      </c>
      <c r="B47" s="184"/>
      <c r="C47" s="160" t="s">
        <v>554</v>
      </c>
      <c r="D47" s="161" t="s">
        <v>130</v>
      </c>
      <c r="E47" s="162">
        <f>5.65*13.775-0.5*0.4*6-3*0.3</f>
        <v>75.72875</v>
      </c>
      <c r="F47" s="163">
        <v>0</v>
      </c>
      <c r="G47" s="182">
        <f>E47*F47</f>
        <v>0</v>
      </c>
      <c r="H47" s="183"/>
      <c r="I47" s="143"/>
    </row>
    <row r="48" spans="1:9" ht="25.5">
      <c r="A48" s="579" t="s">
        <v>122</v>
      </c>
      <c r="B48" s="184" t="s">
        <v>132</v>
      </c>
      <c r="C48" s="185" t="s">
        <v>242</v>
      </c>
      <c r="D48" s="161" t="s">
        <v>134</v>
      </c>
      <c r="E48" s="162">
        <v>3</v>
      </c>
      <c r="F48" s="163">
        <v>0</v>
      </c>
      <c r="G48" s="182">
        <f>E48*F48</f>
        <v>0</v>
      </c>
      <c r="H48" s="183"/>
      <c r="I48" s="143"/>
    </row>
    <row r="49" spans="1:9" ht="51">
      <c r="A49" s="579" t="s">
        <v>125</v>
      </c>
      <c r="B49" s="184">
        <v>619996145</v>
      </c>
      <c r="C49" s="185" t="s">
        <v>555</v>
      </c>
      <c r="D49" s="161" t="s">
        <v>130</v>
      </c>
      <c r="E49" s="162">
        <f>(5.65+13.775*2)*3.3+(3.9+1.6*2)*2.2</f>
        <v>125.18</v>
      </c>
      <c r="F49" s="163">
        <v>0</v>
      </c>
      <c r="G49" s="182">
        <f>E49*F49</f>
        <v>0</v>
      </c>
      <c r="H49" s="183"/>
      <c r="I49" s="143"/>
    </row>
    <row r="50" spans="1:9" ht="51.75">
      <c r="A50" s="579" t="s">
        <v>128</v>
      </c>
      <c r="B50" s="595" t="s">
        <v>471</v>
      </c>
      <c r="C50" s="191" t="s">
        <v>556</v>
      </c>
      <c r="D50" s="161" t="s">
        <v>130</v>
      </c>
      <c r="E50" s="162">
        <f>5.65*13.775-0.5*0.4*6-3*0.3</f>
        <v>75.72875</v>
      </c>
      <c r="F50" s="163">
        <v>0</v>
      </c>
      <c r="G50" s="182">
        <f>E50*F50</f>
        <v>0</v>
      </c>
      <c r="H50" s="183"/>
      <c r="I50" s="143"/>
    </row>
    <row r="51" spans="1:9" ht="15">
      <c r="A51" s="579" t="s">
        <v>131</v>
      </c>
      <c r="B51" s="184"/>
      <c r="C51" s="189"/>
      <c r="D51" s="161"/>
      <c r="E51" s="162"/>
      <c r="F51" s="163"/>
      <c r="G51" s="159"/>
      <c r="H51" s="188"/>
      <c r="I51" s="143"/>
    </row>
    <row r="52" spans="1:9" ht="15">
      <c r="A52" s="579" t="s">
        <v>135</v>
      </c>
      <c r="B52" s="175"/>
      <c r="C52" s="190" t="s">
        <v>146</v>
      </c>
      <c r="D52" s="177" t="s">
        <v>51</v>
      </c>
      <c r="E52" s="178" t="s">
        <v>124</v>
      </c>
      <c r="F52" s="179"/>
      <c r="G52" s="180">
        <f>SUM(G53:G59)</f>
        <v>0</v>
      </c>
      <c r="H52" s="178">
        <f>SUM(H53:H54)</f>
        <v>0.21</v>
      </c>
      <c r="I52" s="143"/>
    </row>
    <row r="53" spans="1:9" ht="15">
      <c r="A53" s="579" t="s">
        <v>137</v>
      </c>
      <c r="B53" s="175">
        <v>974031122</v>
      </c>
      <c r="C53" s="191" t="s">
        <v>244</v>
      </c>
      <c r="D53" s="192" t="s">
        <v>149</v>
      </c>
      <c r="E53" s="183">
        <v>30</v>
      </c>
      <c r="F53" s="179">
        <v>0</v>
      </c>
      <c r="G53" s="193">
        <f>E53*F53</f>
        <v>0</v>
      </c>
      <c r="H53" s="183">
        <f>0.004*E53</f>
        <v>0.12</v>
      </c>
      <c r="I53" s="143"/>
    </row>
    <row r="54" spans="1:9" ht="26.25">
      <c r="A54" s="579" t="s">
        <v>140</v>
      </c>
      <c r="B54" s="175">
        <v>973031324</v>
      </c>
      <c r="C54" s="191" t="s">
        <v>245</v>
      </c>
      <c r="D54" s="192" t="s">
        <v>127</v>
      </c>
      <c r="E54" s="183">
        <f>3+3</f>
        <v>6</v>
      </c>
      <c r="F54" s="179">
        <v>0</v>
      </c>
      <c r="G54" s="193">
        <f>E54*F54</f>
        <v>0</v>
      </c>
      <c r="H54" s="183">
        <f>0.015*E54</f>
        <v>0.09</v>
      </c>
      <c r="I54" s="143"/>
    </row>
    <row r="55" spans="1:9" ht="26.25">
      <c r="A55" s="579" t="s">
        <v>143</v>
      </c>
      <c r="B55" s="175">
        <v>997013151</v>
      </c>
      <c r="C55" s="194" t="s">
        <v>247</v>
      </c>
      <c r="D55" s="195" t="s">
        <v>157</v>
      </c>
      <c r="E55" s="196">
        <f>0.55+0.01+0.03</f>
        <v>0.5900000000000001</v>
      </c>
      <c r="F55" s="197">
        <v>0</v>
      </c>
      <c r="G55" s="182">
        <f>E55*F55</f>
        <v>0</v>
      </c>
      <c r="H55" s="183"/>
      <c r="I55" s="143"/>
    </row>
    <row r="56" spans="1:9" ht="15">
      <c r="A56" s="579" t="s">
        <v>144</v>
      </c>
      <c r="B56" s="175"/>
      <c r="C56" s="194" t="s">
        <v>238</v>
      </c>
      <c r="D56" s="195"/>
      <c r="E56" s="196"/>
      <c r="F56" s="197"/>
      <c r="G56" s="182"/>
      <c r="H56" s="183"/>
      <c r="I56" s="143"/>
    </row>
    <row r="57" spans="1:9" ht="26.25">
      <c r="A57" s="579" t="s">
        <v>145</v>
      </c>
      <c r="B57" s="175">
        <v>997013501</v>
      </c>
      <c r="C57" s="194" t="s">
        <v>248</v>
      </c>
      <c r="D57" s="195" t="s">
        <v>157</v>
      </c>
      <c r="E57" s="196">
        <f>E55</f>
        <v>0.5900000000000001</v>
      </c>
      <c r="F57" s="197">
        <v>0</v>
      </c>
      <c r="G57" s="182">
        <f>E57*F57</f>
        <v>0</v>
      </c>
      <c r="H57" s="183"/>
      <c r="I57" s="143"/>
    </row>
    <row r="58" spans="1:9" ht="39">
      <c r="A58" s="579" t="s">
        <v>147</v>
      </c>
      <c r="B58" s="175">
        <v>997013509</v>
      </c>
      <c r="C58" s="194" t="s">
        <v>249</v>
      </c>
      <c r="D58" s="195" t="s">
        <v>157</v>
      </c>
      <c r="E58" s="196">
        <f>E55</f>
        <v>0.5900000000000001</v>
      </c>
      <c r="F58" s="197">
        <v>0</v>
      </c>
      <c r="G58" s="182">
        <f>E58*F58</f>
        <v>0</v>
      </c>
      <c r="H58" s="183"/>
      <c r="I58" s="143"/>
    </row>
    <row r="59" spans="1:9" ht="39">
      <c r="A59" s="579" t="s">
        <v>150</v>
      </c>
      <c r="B59" s="175">
        <v>469973114</v>
      </c>
      <c r="C59" s="194" t="s">
        <v>250</v>
      </c>
      <c r="D59" s="195" t="s">
        <v>157</v>
      </c>
      <c r="E59" s="196">
        <f>0.55+0.03</f>
        <v>0.5800000000000001</v>
      </c>
      <c r="F59" s="197">
        <v>0</v>
      </c>
      <c r="G59" s="182">
        <f>E59*F59</f>
        <v>0</v>
      </c>
      <c r="H59" s="183"/>
      <c r="I59" s="143"/>
    </row>
    <row r="60" spans="1:9" ht="15">
      <c r="A60" s="579" t="s">
        <v>152</v>
      </c>
      <c r="B60" s="198"/>
      <c r="C60" s="199"/>
      <c r="D60" s="200"/>
      <c r="E60" s="201"/>
      <c r="F60" s="202"/>
      <c r="G60" s="203"/>
      <c r="H60" s="204"/>
      <c r="I60" s="143"/>
    </row>
    <row r="61" spans="1:9" ht="15">
      <c r="A61" s="579" t="s">
        <v>153</v>
      </c>
      <c r="B61" s="198"/>
      <c r="C61" s="205" t="s">
        <v>170</v>
      </c>
      <c r="D61" s="177" t="s">
        <v>51</v>
      </c>
      <c r="E61" s="178" t="s">
        <v>124</v>
      </c>
      <c r="F61" s="179"/>
      <c r="G61" s="180">
        <f>SUM(G62:G67)</f>
        <v>0</v>
      </c>
      <c r="H61" s="178">
        <f>SUM(H62:H67)</f>
        <v>0.49791415</v>
      </c>
      <c r="I61" s="143"/>
    </row>
    <row r="62" spans="1:9" ht="26.25">
      <c r="A62" s="579" t="s">
        <v>155</v>
      </c>
      <c r="B62" s="198">
        <v>612135101</v>
      </c>
      <c r="C62" s="199" t="s">
        <v>557</v>
      </c>
      <c r="D62" s="200" t="s">
        <v>130</v>
      </c>
      <c r="E62" s="201">
        <f>0.1*30</f>
        <v>3</v>
      </c>
      <c r="F62" s="202">
        <v>0</v>
      </c>
      <c r="G62" s="182">
        <f aca="true" t="shared" si="0" ref="G62:G67">E62*F62</f>
        <v>0</v>
      </c>
      <c r="H62" s="206">
        <f>0.056*E62</f>
        <v>0.168</v>
      </c>
      <c r="I62" s="143"/>
    </row>
    <row r="63" spans="1:9" ht="26.25">
      <c r="A63" s="579" t="s">
        <v>158</v>
      </c>
      <c r="B63" s="198">
        <v>612325121</v>
      </c>
      <c r="C63" s="199" t="s">
        <v>558</v>
      </c>
      <c r="D63" s="200" t="s">
        <v>130</v>
      </c>
      <c r="E63" s="201">
        <f>0.15*(30)</f>
        <v>4.5</v>
      </c>
      <c r="F63" s="202">
        <v>0</v>
      </c>
      <c r="G63" s="182">
        <f t="shared" si="0"/>
        <v>0</v>
      </c>
      <c r="H63" s="206">
        <f>0.04153*E63</f>
        <v>0.186885</v>
      </c>
      <c r="I63" s="143"/>
    </row>
    <row r="64" spans="1:9" ht="15">
      <c r="A64" s="579" t="s">
        <v>160</v>
      </c>
      <c r="B64" s="198">
        <v>612315222</v>
      </c>
      <c r="C64" s="199" t="s">
        <v>559</v>
      </c>
      <c r="D64" s="200" t="s">
        <v>127</v>
      </c>
      <c r="E64" s="201">
        <v>6</v>
      </c>
      <c r="F64" s="202">
        <v>0</v>
      </c>
      <c r="G64" s="182">
        <f t="shared" si="0"/>
        <v>0</v>
      </c>
      <c r="H64" s="206">
        <f>0.01*E64</f>
        <v>0.06</v>
      </c>
      <c r="I64" s="143"/>
    </row>
    <row r="65" spans="1:9" ht="39">
      <c r="A65" s="579" t="s">
        <v>162</v>
      </c>
      <c r="B65" s="198" t="s">
        <v>178</v>
      </c>
      <c r="C65" s="199" t="s">
        <v>560</v>
      </c>
      <c r="D65" s="200" t="s">
        <v>180</v>
      </c>
      <c r="E65" s="201">
        <v>1</v>
      </c>
      <c r="F65" s="202">
        <v>0</v>
      </c>
      <c r="G65" s="182">
        <f t="shared" si="0"/>
        <v>0</v>
      </c>
      <c r="H65" s="206">
        <f>0.08</f>
        <v>0.08</v>
      </c>
      <c r="I65" s="143"/>
    </row>
    <row r="66" spans="1:9" ht="39">
      <c r="A66" s="579" t="s">
        <v>164</v>
      </c>
      <c r="B66" s="198">
        <v>952901111</v>
      </c>
      <c r="C66" s="199" t="s">
        <v>476</v>
      </c>
      <c r="D66" s="200"/>
      <c r="E66" s="201">
        <f>E50</f>
        <v>75.72875</v>
      </c>
      <c r="F66" s="202">
        <v>0</v>
      </c>
      <c r="G66" s="182">
        <f t="shared" si="0"/>
        <v>0</v>
      </c>
      <c r="H66" s="206">
        <f>0.00004*E66</f>
        <v>0.0030291500000000004</v>
      </c>
      <c r="I66" s="143"/>
    </row>
    <row r="67" spans="1:9" ht="15">
      <c r="A67" s="579" t="s">
        <v>166</v>
      </c>
      <c r="B67" s="198">
        <v>998011002</v>
      </c>
      <c r="C67" s="207" t="s">
        <v>254</v>
      </c>
      <c r="D67" s="200" t="s">
        <v>157</v>
      </c>
      <c r="E67" s="201">
        <f>SUM(H62:H66)</f>
        <v>0.49791415</v>
      </c>
      <c r="F67" s="202">
        <v>0</v>
      </c>
      <c r="G67" s="182">
        <f t="shared" si="0"/>
        <v>0</v>
      </c>
      <c r="H67" s="204"/>
      <c r="I67" s="143"/>
    </row>
    <row r="68" spans="1:9" ht="15">
      <c r="A68" s="579" t="s">
        <v>168</v>
      </c>
      <c r="B68" s="198"/>
      <c r="C68" s="199"/>
      <c r="D68" s="200"/>
      <c r="E68" s="201"/>
      <c r="F68" s="202"/>
      <c r="G68" s="203"/>
      <c r="H68" s="204"/>
      <c r="I68" s="143"/>
    </row>
    <row r="69" spans="1:9" ht="15">
      <c r="A69" s="579" t="s">
        <v>169</v>
      </c>
      <c r="B69" s="198"/>
      <c r="C69" s="205" t="s">
        <v>229</v>
      </c>
      <c r="D69" s="208" t="s">
        <v>51</v>
      </c>
      <c r="E69" s="209" t="s">
        <v>124</v>
      </c>
      <c r="F69" s="202"/>
      <c r="G69" s="210">
        <f>SUM(G70:G73)</f>
        <v>0</v>
      </c>
      <c r="H69" s="204"/>
      <c r="I69" s="143"/>
    </row>
    <row r="70" spans="1:9" ht="63.75">
      <c r="A70" s="579" t="s">
        <v>171</v>
      </c>
      <c r="B70" s="198">
        <v>784121001</v>
      </c>
      <c r="C70" s="214" t="s">
        <v>561</v>
      </c>
      <c r="D70" s="200" t="s">
        <v>130</v>
      </c>
      <c r="E70" s="201">
        <f>(5.65*13.775)+(0.4+0.5)*2*3.3+3.9*2.2</f>
        <v>92.34875000000001</v>
      </c>
      <c r="F70" s="216">
        <v>0</v>
      </c>
      <c r="G70" s="203">
        <f>E70*F70</f>
        <v>0</v>
      </c>
      <c r="H70" s="204">
        <f>0.0003*E70</f>
        <v>0.027704625</v>
      </c>
      <c r="I70" s="143"/>
    </row>
    <row r="71" spans="1:9" ht="38.25">
      <c r="A71" s="579" t="s">
        <v>173</v>
      </c>
      <c r="B71" s="198">
        <v>784111001</v>
      </c>
      <c r="C71" s="214" t="s">
        <v>266</v>
      </c>
      <c r="D71" s="200" t="s">
        <v>130</v>
      </c>
      <c r="E71" s="201">
        <f>E70</f>
        <v>92.34875000000001</v>
      </c>
      <c r="F71" s="216">
        <v>0</v>
      </c>
      <c r="G71" s="203">
        <f>E71*F71</f>
        <v>0</v>
      </c>
      <c r="H71" s="204">
        <v>0</v>
      </c>
      <c r="I71" s="143"/>
    </row>
    <row r="72" spans="1:9" ht="25.5">
      <c r="A72" s="579" t="s">
        <v>175</v>
      </c>
      <c r="B72" s="198">
        <v>784181101</v>
      </c>
      <c r="C72" s="211" t="s">
        <v>267</v>
      </c>
      <c r="D72" s="200" t="s">
        <v>130</v>
      </c>
      <c r="E72" s="201">
        <f>E71</f>
        <v>92.34875000000001</v>
      </c>
      <c r="F72" s="216">
        <v>0</v>
      </c>
      <c r="G72" s="203">
        <f>E72*F72</f>
        <v>0</v>
      </c>
      <c r="H72" s="204"/>
      <c r="I72" s="143"/>
    </row>
    <row r="73" spans="1:9" ht="63.75">
      <c r="A73" s="579" t="s">
        <v>177</v>
      </c>
      <c r="B73" s="198">
        <v>784221101</v>
      </c>
      <c r="C73" s="214" t="s">
        <v>562</v>
      </c>
      <c r="D73" s="200" t="s">
        <v>130</v>
      </c>
      <c r="E73" s="201">
        <f>E70</f>
        <v>92.34875000000001</v>
      </c>
      <c r="F73" s="216">
        <v>0</v>
      </c>
      <c r="G73" s="203">
        <f>E73*F73</f>
        <v>0</v>
      </c>
      <c r="H73" s="204"/>
      <c r="I73" s="143"/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I49" sqref="I49"/>
    </sheetView>
  </sheetViews>
  <sheetFormatPr defaultColWidth="9.140625" defaultRowHeight="15"/>
  <cols>
    <col min="1" max="1" width="13.8515625" style="0" customWidth="1"/>
    <col min="2" max="2" width="62.851562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484" t="s">
        <v>315</v>
      </c>
      <c r="B2" s="485"/>
      <c r="C2" s="485"/>
      <c r="D2" s="485"/>
      <c r="E2" s="485"/>
      <c r="F2" s="485"/>
      <c r="G2" s="486"/>
      <c r="H2" s="486"/>
    </row>
    <row r="3" spans="1:8" ht="16.5">
      <c r="A3" s="487" t="s">
        <v>316</v>
      </c>
      <c r="B3" s="488" t="s">
        <v>317</v>
      </c>
      <c r="C3" s="487" t="s">
        <v>127</v>
      </c>
      <c r="D3" s="487">
        <v>3</v>
      </c>
      <c r="E3" s="314">
        <v>0</v>
      </c>
      <c r="F3" s="489">
        <f>D3*E3</f>
        <v>0</v>
      </c>
      <c r="G3" s="314">
        <v>0</v>
      </c>
      <c r="H3" s="489">
        <f>D3*G3</f>
        <v>0</v>
      </c>
    </row>
    <row r="4" spans="1:8" ht="16.5">
      <c r="A4" s="487" t="s">
        <v>318</v>
      </c>
      <c r="B4" s="488" t="s">
        <v>319</v>
      </c>
      <c r="C4" s="487" t="s">
        <v>127</v>
      </c>
      <c r="D4" s="487">
        <v>3</v>
      </c>
      <c r="E4" s="314">
        <v>0</v>
      </c>
      <c r="F4" s="489">
        <f>D4*E4</f>
        <v>0</v>
      </c>
      <c r="G4" s="314">
        <v>0</v>
      </c>
      <c r="H4" s="489">
        <f>D4*G4</f>
        <v>0</v>
      </c>
    </row>
    <row r="5" spans="1:8" ht="16.5">
      <c r="A5" s="487" t="s">
        <v>320</v>
      </c>
      <c r="B5" s="488" t="s">
        <v>323</v>
      </c>
      <c r="C5" s="487" t="s">
        <v>180</v>
      </c>
      <c r="D5" s="487">
        <v>1</v>
      </c>
      <c r="E5" s="314">
        <v>0</v>
      </c>
      <c r="F5" s="489">
        <f>D5*E5</f>
        <v>0</v>
      </c>
      <c r="G5" s="314"/>
      <c r="H5" s="489">
        <f>D5*G5</f>
        <v>0</v>
      </c>
    </row>
    <row r="6" spans="1:8" ht="16.5">
      <c r="A6" s="487" t="s">
        <v>322</v>
      </c>
      <c r="B6" s="488" t="s">
        <v>325</v>
      </c>
      <c r="C6" s="487" t="s">
        <v>180</v>
      </c>
      <c r="D6" s="487">
        <v>1</v>
      </c>
      <c r="E6" s="314"/>
      <c r="F6" s="489">
        <f>D6*E6</f>
        <v>0</v>
      </c>
      <c r="G6" s="314">
        <v>0</v>
      </c>
      <c r="H6" s="489">
        <f>D6*G6</f>
        <v>0</v>
      </c>
    </row>
    <row r="7" spans="1:8" ht="16.5">
      <c r="A7" s="487" t="s">
        <v>324</v>
      </c>
      <c r="B7" s="488" t="s">
        <v>327</v>
      </c>
      <c r="C7" s="487" t="s">
        <v>180</v>
      </c>
      <c r="D7" s="487">
        <v>1</v>
      </c>
      <c r="E7" s="314"/>
      <c r="F7" s="489">
        <f>D7*E7</f>
        <v>0</v>
      </c>
      <c r="G7" s="314">
        <v>0</v>
      </c>
      <c r="H7" s="489">
        <f>D7*G7</f>
        <v>0</v>
      </c>
    </row>
    <row r="8" spans="1:8" ht="16.5">
      <c r="A8" s="487"/>
      <c r="B8" s="490" t="s">
        <v>328</v>
      </c>
      <c r="C8" s="491"/>
      <c r="D8" s="491"/>
      <c r="E8" s="495"/>
      <c r="F8" s="492">
        <f>SUM(F3:F7)</f>
        <v>0</v>
      </c>
      <c r="G8" s="492"/>
      <c r="H8" s="492">
        <f>SUM(H3:H7)</f>
        <v>0</v>
      </c>
    </row>
    <row r="9" spans="1:8" ht="15.75">
      <c r="A9" s="484" t="s">
        <v>329</v>
      </c>
      <c r="B9" s="485"/>
      <c r="C9" s="485"/>
      <c r="D9" s="485"/>
      <c r="E9" s="485"/>
      <c r="F9" s="485"/>
      <c r="G9" s="486"/>
      <c r="H9" s="486"/>
    </row>
    <row r="10" spans="1:8" ht="16.5">
      <c r="A10" s="487" t="s">
        <v>326</v>
      </c>
      <c r="B10" s="488" t="s">
        <v>331</v>
      </c>
      <c r="C10" s="487" t="s">
        <v>127</v>
      </c>
      <c r="D10" s="487">
        <v>1</v>
      </c>
      <c r="E10" s="314">
        <v>0</v>
      </c>
      <c r="F10" s="489">
        <f>D10*E10</f>
        <v>0</v>
      </c>
      <c r="G10" s="314">
        <v>0</v>
      </c>
      <c r="H10" s="489">
        <f>D10*G10</f>
        <v>0</v>
      </c>
    </row>
    <row r="11" spans="1:8" ht="16.5">
      <c r="A11" s="487" t="s">
        <v>330</v>
      </c>
      <c r="B11" s="488" t="s">
        <v>325</v>
      </c>
      <c r="C11" s="493" t="s">
        <v>180</v>
      </c>
      <c r="D11" s="487">
        <v>1</v>
      </c>
      <c r="E11" s="314"/>
      <c r="F11" s="489">
        <f>D11*E11</f>
        <v>0</v>
      </c>
      <c r="G11" s="314">
        <v>0</v>
      </c>
      <c r="H11" s="489">
        <f>D11*G11</f>
        <v>0</v>
      </c>
    </row>
    <row r="12" spans="1:8" ht="16.5">
      <c r="A12" s="487" t="s">
        <v>332</v>
      </c>
      <c r="B12" s="488" t="s">
        <v>334</v>
      </c>
      <c r="C12" s="493" t="s">
        <v>180</v>
      </c>
      <c r="D12" s="487">
        <v>1</v>
      </c>
      <c r="E12" s="314">
        <v>0</v>
      </c>
      <c r="F12" s="489">
        <f>D12*E12</f>
        <v>0</v>
      </c>
      <c r="G12" s="314">
        <v>0</v>
      </c>
      <c r="H12" s="489">
        <f>D12*G12</f>
        <v>0</v>
      </c>
    </row>
    <row r="13" spans="1:8" ht="15.75">
      <c r="A13" s="494"/>
      <c r="B13" s="490" t="s">
        <v>335</v>
      </c>
      <c r="C13" s="491"/>
      <c r="D13" s="491"/>
      <c r="E13" s="318"/>
      <c r="F13" s="492">
        <f>SUM(F10:F12)</f>
        <v>0</v>
      </c>
      <c r="G13" s="320"/>
      <c r="H13" s="492">
        <f>SUM(H10:H12)</f>
        <v>0</v>
      </c>
    </row>
    <row r="14" spans="1:8" ht="15.75">
      <c r="A14" s="484" t="s">
        <v>336</v>
      </c>
      <c r="B14" s="485"/>
      <c r="C14" s="485"/>
      <c r="D14" s="485"/>
      <c r="E14" s="485"/>
      <c r="F14" s="485"/>
      <c r="G14" s="486"/>
      <c r="H14" s="486"/>
    </row>
    <row r="15" spans="1:8" ht="16.5">
      <c r="A15" s="487" t="s">
        <v>479</v>
      </c>
      <c r="B15" s="488" t="s">
        <v>480</v>
      </c>
      <c r="C15" s="487" t="s">
        <v>339</v>
      </c>
      <c r="D15" s="487">
        <v>60</v>
      </c>
      <c r="E15" s="314">
        <v>0</v>
      </c>
      <c r="F15" s="489">
        <f aca="true" t="shared" si="0" ref="F15:F21">D15*E15</f>
        <v>0</v>
      </c>
      <c r="G15" s="314">
        <v>0</v>
      </c>
      <c r="H15" s="489">
        <f aca="true" t="shared" si="1" ref="H15:H21">D15*G15</f>
        <v>0</v>
      </c>
    </row>
    <row r="16" spans="1:8" ht="16.5">
      <c r="A16" s="487" t="s">
        <v>337</v>
      </c>
      <c r="B16" s="488" t="s">
        <v>341</v>
      </c>
      <c r="C16" s="487" t="s">
        <v>339</v>
      </c>
      <c r="D16" s="487">
        <v>45</v>
      </c>
      <c r="E16" s="314">
        <v>0</v>
      </c>
      <c r="F16" s="489">
        <f t="shared" si="0"/>
        <v>0</v>
      </c>
      <c r="G16" s="314">
        <v>0</v>
      </c>
      <c r="H16" s="489">
        <f t="shared" si="1"/>
        <v>0</v>
      </c>
    </row>
    <row r="17" spans="1:8" ht="16.5">
      <c r="A17" s="487" t="s">
        <v>340</v>
      </c>
      <c r="B17" s="488" t="s">
        <v>343</v>
      </c>
      <c r="C17" s="487" t="s">
        <v>339</v>
      </c>
      <c r="D17" s="487">
        <v>15</v>
      </c>
      <c r="E17" s="314">
        <v>0</v>
      </c>
      <c r="F17" s="489">
        <f t="shared" si="0"/>
        <v>0</v>
      </c>
      <c r="G17" s="314">
        <v>0</v>
      </c>
      <c r="H17" s="489">
        <f t="shared" si="1"/>
        <v>0</v>
      </c>
    </row>
    <row r="18" spans="1:8" ht="16.5">
      <c r="A18" s="487" t="s">
        <v>342</v>
      </c>
      <c r="B18" s="488" t="s">
        <v>347</v>
      </c>
      <c r="C18" s="487" t="s">
        <v>127</v>
      </c>
      <c r="D18" s="487">
        <v>1</v>
      </c>
      <c r="E18" s="314">
        <v>0</v>
      </c>
      <c r="F18" s="489">
        <f t="shared" si="0"/>
        <v>0</v>
      </c>
      <c r="G18" s="314">
        <v>0</v>
      </c>
      <c r="H18" s="489">
        <f t="shared" si="1"/>
        <v>0</v>
      </c>
    </row>
    <row r="19" spans="1:8" ht="16.5">
      <c r="A19" s="487" t="s">
        <v>344</v>
      </c>
      <c r="B19" s="488" t="s">
        <v>349</v>
      </c>
      <c r="C19" s="493" t="s">
        <v>180</v>
      </c>
      <c r="D19" s="487">
        <v>1</v>
      </c>
      <c r="E19" s="314">
        <v>0</v>
      </c>
      <c r="F19" s="489">
        <f t="shared" si="0"/>
        <v>0</v>
      </c>
      <c r="G19" s="314"/>
      <c r="H19" s="489">
        <f t="shared" si="1"/>
        <v>0</v>
      </c>
    </row>
    <row r="20" spans="1:8" ht="16.5">
      <c r="A20" s="487" t="s">
        <v>346</v>
      </c>
      <c r="B20" s="488" t="s">
        <v>351</v>
      </c>
      <c r="C20" s="493" t="s">
        <v>180</v>
      </c>
      <c r="D20" s="487">
        <v>1</v>
      </c>
      <c r="E20" s="314"/>
      <c r="F20" s="489">
        <f t="shared" si="0"/>
        <v>0</v>
      </c>
      <c r="G20" s="314">
        <v>0</v>
      </c>
      <c r="H20" s="489">
        <f t="shared" si="1"/>
        <v>0</v>
      </c>
    </row>
    <row r="21" spans="1:8" ht="16.5">
      <c r="A21" s="487" t="s">
        <v>348</v>
      </c>
      <c r="B21" s="488" t="s">
        <v>325</v>
      </c>
      <c r="C21" s="493" t="s">
        <v>180</v>
      </c>
      <c r="D21" s="487">
        <v>1</v>
      </c>
      <c r="E21" s="314"/>
      <c r="F21" s="489">
        <f t="shared" si="0"/>
        <v>0</v>
      </c>
      <c r="G21" s="314">
        <v>0</v>
      </c>
      <c r="H21" s="489">
        <f t="shared" si="1"/>
        <v>0</v>
      </c>
    </row>
    <row r="22" spans="1:8" ht="16.5">
      <c r="A22" s="494"/>
      <c r="B22" s="490" t="s">
        <v>353</v>
      </c>
      <c r="C22" s="491"/>
      <c r="D22" s="491"/>
      <c r="E22" s="495"/>
      <c r="F22" s="492">
        <f>SUM(F15:F21)</f>
        <v>0</v>
      </c>
      <c r="G22" s="489"/>
      <c r="H22" s="492">
        <f>SUM(H15:H21)</f>
        <v>0</v>
      </c>
    </row>
    <row r="23" spans="1:8" ht="15.75">
      <c r="A23" s="484" t="s">
        <v>354</v>
      </c>
      <c r="B23" s="485"/>
      <c r="C23" s="485"/>
      <c r="D23" s="485"/>
      <c r="E23" s="485"/>
      <c r="F23" s="485"/>
      <c r="G23" s="496"/>
      <c r="H23" s="496"/>
    </row>
    <row r="24" spans="1:8" ht="16.5">
      <c r="A24" s="487" t="s">
        <v>350</v>
      </c>
      <c r="B24" s="488" t="s">
        <v>356</v>
      </c>
      <c r="C24" s="487" t="s">
        <v>127</v>
      </c>
      <c r="D24" s="487">
        <v>1</v>
      </c>
      <c r="E24" s="325">
        <v>0</v>
      </c>
      <c r="F24" s="489">
        <f>D24*E24</f>
        <v>0</v>
      </c>
      <c r="G24" s="325"/>
      <c r="H24" s="489">
        <f>D24*G24</f>
        <v>0</v>
      </c>
    </row>
    <row r="25" spans="1:8" ht="15.75">
      <c r="A25" s="497"/>
      <c r="B25" s="498" t="s">
        <v>357</v>
      </c>
      <c r="C25" s="499"/>
      <c r="D25" s="499"/>
      <c r="E25" s="500"/>
      <c r="F25" s="501">
        <f>+F22+F13+F8+F24</f>
        <v>0</v>
      </c>
      <c r="G25" s="497"/>
      <c r="H25" s="501">
        <f>+H22+H13+H8+H24</f>
        <v>0</v>
      </c>
    </row>
    <row r="26" spans="1:8" ht="16.5">
      <c r="A26" s="502"/>
      <c r="B26" s="502"/>
      <c r="C26" s="502"/>
      <c r="D26" s="502"/>
      <c r="E26" s="502"/>
      <c r="F26" s="503" t="s">
        <v>358</v>
      </c>
      <c r="G26" s="504"/>
      <c r="H26" s="505" t="s">
        <v>359</v>
      </c>
    </row>
    <row r="27" spans="1:8" ht="21">
      <c r="A27" s="506" t="s">
        <v>357</v>
      </c>
      <c r="B27" s="506"/>
      <c r="C27" s="507">
        <f>SUM(F25,H25)</f>
        <v>0</v>
      </c>
      <c r="D27" s="508"/>
      <c r="E27" s="508"/>
      <c r="F27" s="502"/>
      <c r="G27" s="504"/>
      <c r="H27" s="509"/>
    </row>
  </sheetData>
  <mergeCells count="6">
    <mergeCell ref="A2:H2"/>
    <mergeCell ref="A9:H9"/>
    <mergeCell ref="A14:H14"/>
    <mergeCell ref="A23:H23"/>
    <mergeCell ref="A27:B27"/>
    <mergeCell ref="C27:E27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J13" sqref="J13"/>
    </sheetView>
  </sheetViews>
  <sheetFormatPr defaultColWidth="9.140625" defaultRowHeight="15"/>
  <cols>
    <col min="1" max="1" width="4.8515625" style="0" customWidth="1"/>
    <col min="3" max="3" width="84.8515625" style="0" customWidth="1"/>
    <col min="4" max="4" width="17.140625" style="0" customWidth="1"/>
    <col min="5" max="5" width="13.8515625" style="0" customWidth="1"/>
    <col min="6" max="6" width="15.00390625" style="0" customWidth="1"/>
    <col min="7" max="7" width="16.85156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484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SUM(G12:G28)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15.7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485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1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1</v>
      </c>
      <c r="F13" s="402">
        <v>0</v>
      </c>
      <c r="G13" s="403">
        <f>F13*E13</f>
        <v>0</v>
      </c>
    </row>
    <row r="14" spans="1:7" ht="33">
      <c r="A14" s="359">
        <v>3</v>
      </c>
      <c r="B14" s="395"/>
      <c r="C14" s="404" t="s">
        <v>372</v>
      </c>
      <c r="D14" s="401" t="s">
        <v>127</v>
      </c>
      <c r="E14" s="359">
        <v>3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450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110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90</v>
      </c>
      <c r="F19" s="408">
        <v>0</v>
      </c>
      <c r="G19" s="403">
        <f>F19*E19</f>
        <v>0</v>
      </c>
    </row>
    <row r="20" spans="1:7" ht="17.25" thickBot="1">
      <c r="A20" s="395"/>
      <c r="B20" s="409"/>
      <c r="C20" s="407"/>
      <c r="D20" s="401"/>
      <c r="E20" s="401"/>
      <c r="F20" s="408"/>
      <c r="G20" s="403"/>
    </row>
    <row r="21" spans="1:7" ht="17.25" thickBot="1">
      <c r="A21" s="359"/>
      <c r="B21" s="395"/>
      <c r="C21" s="396" t="s">
        <v>377</v>
      </c>
      <c r="D21" s="397"/>
      <c r="E21" s="359"/>
      <c r="F21" s="408"/>
      <c r="G21" s="403"/>
    </row>
    <row r="22" spans="1:7" ht="16.5">
      <c r="A22" s="395">
        <v>7</v>
      </c>
      <c r="B22" s="409"/>
      <c r="C22" s="407" t="s">
        <v>378</v>
      </c>
      <c r="D22" s="401" t="s">
        <v>180</v>
      </c>
      <c r="E22" s="401">
        <v>1</v>
      </c>
      <c r="F22" s="408">
        <v>0</v>
      </c>
      <c r="G22" s="403">
        <f aca="true" t="shared" si="0" ref="G22:G27">F22*E22</f>
        <v>0</v>
      </c>
    </row>
    <row r="23" spans="1:7" ht="33">
      <c r="A23" s="395">
        <v>8</v>
      </c>
      <c r="B23" s="409"/>
      <c r="C23" s="407" t="s">
        <v>379</v>
      </c>
      <c r="D23" s="401" t="s">
        <v>180</v>
      </c>
      <c r="E23" s="401">
        <v>1</v>
      </c>
      <c r="F23" s="408">
        <v>0</v>
      </c>
      <c r="G23" s="403">
        <f t="shared" si="0"/>
        <v>0</v>
      </c>
    </row>
    <row r="24" spans="1:7" ht="33">
      <c r="A24" s="395">
        <v>9</v>
      </c>
      <c r="B24" s="409"/>
      <c r="C24" s="407" t="s">
        <v>380</v>
      </c>
      <c r="D24" s="401" t="s">
        <v>381</v>
      </c>
      <c r="E24" s="401">
        <v>10</v>
      </c>
      <c r="F24" s="408">
        <v>0</v>
      </c>
      <c r="G24" s="403">
        <f t="shared" si="0"/>
        <v>0</v>
      </c>
    </row>
    <row r="25" spans="1:7" ht="16.5">
      <c r="A25" s="395">
        <v>10</v>
      </c>
      <c r="B25" s="409"/>
      <c r="C25" s="407" t="s">
        <v>382</v>
      </c>
      <c r="D25" s="401" t="s">
        <v>127</v>
      </c>
      <c r="E25" s="401">
        <f>E13*6</f>
        <v>6</v>
      </c>
      <c r="F25" s="408">
        <v>0</v>
      </c>
      <c r="G25" s="403">
        <f t="shared" si="0"/>
        <v>0</v>
      </c>
    </row>
    <row r="26" spans="1:7" ht="16.5">
      <c r="A26" s="395">
        <v>11</v>
      </c>
      <c r="B26" s="409"/>
      <c r="C26" s="407" t="s">
        <v>383</v>
      </c>
      <c r="D26" s="401" t="s">
        <v>127</v>
      </c>
      <c r="E26" s="401">
        <f>E25</f>
        <v>6</v>
      </c>
      <c r="F26" s="408">
        <v>0</v>
      </c>
      <c r="G26" s="403">
        <f t="shared" si="0"/>
        <v>0</v>
      </c>
    </row>
    <row r="27" spans="1:7" ht="16.5">
      <c r="A27" s="395">
        <v>12</v>
      </c>
      <c r="B27" s="409"/>
      <c r="C27" s="407" t="s">
        <v>384</v>
      </c>
      <c r="D27" s="401" t="s">
        <v>180</v>
      </c>
      <c r="E27" s="401">
        <v>1</v>
      </c>
      <c r="F27" s="408">
        <v>0</v>
      </c>
      <c r="G27" s="403">
        <f t="shared" si="0"/>
        <v>0</v>
      </c>
    </row>
    <row r="28" spans="1:7" ht="16.5">
      <c r="A28" s="395"/>
      <c r="B28" s="409"/>
      <c r="C28" s="407"/>
      <c r="D28" s="401"/>
      <c r="E28" s="401"/>
      <c r="F28" s="408"/>
      <c r="G28" s="403"/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 topLeftCell="A82">
      <selection activeCell="N45" sqref="N45"/>
    </sheetView>
  </sheetViews>
  <sheetFormatPr defaultColWidth="9.140625" defaultRowHeight="15"/>
  <cols>
    <col min="2" max="2" width="15.57421875" style="0" customWidth="1"/>
    <col min="3" max="3" width="51.7109375" style="0" customWidth="1"/>
  </cols>
  <sheetData>
    <row r="1" spans="1:8" ht="34.5" customHeight="1">
      <c r="A1" s="474"/>
      <c r="B1" s="279"/>
      <c r="C1" s="264" t="s">
        <v>46</v>
      </c>
      <c r="D1" s="50"/>
      <c r="E1" s="475"/>
      <c r="F1" s="47"/>
      <c r="G1" s="48"/>
      <c r="H1" s="138"/>
    </row>
    <row r="2" spans="1:8" ht="15">
      <c r="A2" s="474"/>
      <c r="B2" s="279"/>
      <c r="C2" s="50" t="s">
        <v>32</v>
      </c>
      <c r="D2" s="50"/>
      <c r="E2" s="475"/>
      <c r="F2" s="47"/>
      <c r="G2" s="48"/>
      <c r="H2" s="138"/>
    </row>
    <row r="3" spans="1:8" ht="47.25">
      <c r="A3" s="474"/>
      <c r="B3" s="279"/>
      <c r="C3" s="267" t="s">
        <v>462</v>
      </c>
      <c r="D3" s="50"/>
      <c r="E3" s="475"/>
      <c r="F3" s="47"/>
      <c r="G3" s="48"/>
      <c r="H3" s="138"/>
    </row>
    <row r="4" spans="1:8" ht="15">
      <c r="A4" s="474"/>
      <c r="B4" s="279"/>
      <c r="C4" s="51"/>
      <c r="D4" s="50"/>
      <c r="E4" s="475"/>
      <c r="F4" s="47"/>
      <c r="G4" s="48"/>
      <c r="H4" s="138"/>
    </row>
    <row r="5" spans="1:8" ht="45" customHeight="1">
      <c r="A5" s="474"/>
      <c r="B5" s="279"/>
      <c r="C5" s="517" t="s">
        <v>55</v>
      </c>
      <c r="D5" s="50"/>
      <c r="E5" s="475"/>
      <c r="F5" s="47"/>
      <c r="G5" s="48"/>
      <c r="H5" s="138"/>
    </row>
    <row r="6" spans="1:8" ht="15">
      <c r="A6" s="476"/>
      <c r="B6" s="276"/>
      <c r="C6" s="54"/>
      <c r="D6" s="277"/>
      <c r="E6" s="477"/>
      <c r="F6" s="57"/>
      <c r="G6" s="58"/>
      <c r="H6" s="139"/>
    </row>
    <row r="7" spans="1:8" ht="15">
      <c r="A7" s="474"/>
      <c r="B7" s="279"/>
      <c r="C7" s="50" t="s">
        <v>33</v>
      </c>
      <c r="D7" s="50"/>
      <c r="E7" s="475"/>
      <c r="F7" s="47"/>
      <c r="G7" s="48"/>
      <c r="H7" s="138"/>
    </row>
    <row r="8" spans="1:8" ht="30">
      <c r="A8" s="596"/>
      <c r="B8" s="234"/>
      <c r="C8" s="231" t="s">
        <v>268</v>
      </c>
      <c r="D8" s="219"/>
      <c r="E8" s="597"/>
      <c r="F8" s="220"/>
      <c r="G8" s="221"/>
      <c r="H8" s="222"/>
    </row>
    <row r="9" spans="1:8" ht="15">
      <c r="A9" s="596"/>
      <c r="B9" s="234"/>
      <c r="C9" s="232"/>
      <c r="D9" s="219"/>
      <c r="E9" s="597"/>
      <c r="F9" s="220"/>
      <c r="G9" s="221"/>
      <c r="H9" s="222"/>
    </row>
    <row r="10" spans="1:8" ht="15">
      <c r="A10" s="596"/>
      <c r="B10" s="234"/>
      <c r="C10" s="232"/>
      <c r="D10" s="219"/>
      <c r="E10" s="597"/>
      <c r="F10" s="220"/>
      <c r="G10" s="221"/>
      <c r="H10" s="222"/>
    </row>
    <row r="11" spans="1:8" ht="15">
      <c r="A11" s="596"/>
      <c r="B11" s="234"/>
      <c r="C11" s="232"/>
      <c r="D11" s="219"/>
      <c r="E11" s="597"/>
      <c r="F11" s="220"/>
      <c r="G11" s="221"/>
      <c r="H11" s="222"/>
    </row>
    <row r="12" spans="1:8" ht="15">
      <c r="A12" s="567"/>
      <c r="B12" s="224"/>
      <c r="C12" s="233"/>
      <c r="D12" s="226"/>
      <c r="E12" s="528"/>
      <c r="F12" s="228"/>
      <c r="G12" s="229"/>
      <c r="H12" s="230"/>
    </row>
    <row r="13" spans="1:8" ht="15">
      <c r="A13" s="567"/>
      <c r="B13" s="234"/>
      <c r="C13" s="235" t="s">
        <v>65</v>
      </c>
      <c r="D13" s="226"/>
      <c r="E13" s="528"/>
      <c r="F13" s="228"/>
      <c r="G13" s="236"/>
      <c r="H13" s="230"/>
    </row>
    <row r="14" spans="1:8" ht="15">
      <c r="A14" s="527" t="s">
        <v>66</v>
      </c>
      <c r="B14" s="234"/>
      <c r="C14" s="237" t="s">
        <v>49</v>
      </c>
      <c r="D14" s="226"/>
      <c r="E14" s="528"/>
      <c r="F14" s="228"/>
      <c r="G14" s="236"/>
      <c r="H14" s="230"/>
    </row>
    <row r="15" spans="1:8" ht="15">
      <c r="A15" s="527" t="s">
        <v>67</v>
      </c>
      <c r="B15" s="234"/>
      <c r="C15" s="238" t="s">
        <v>68</v>
      </c>
      <c r="D15" s="226" t="s">
        <v>51</v>
      </c>
      <c r="E15" s="528"/>
      <c r="F15" s="228"/>
      <c r="G15" s="236">
        <f>G48</f>
        <v>0</v>
      </c>
      <c r="H15" s="230"/>
    </row>
    <row r="16" spans="1:8" ht="15">
      <c r="A16" s="527" t="s">
        <v>69</v>
      </c>
      <c r="B16" s="224"/>
      <c r="C16" s="238" t="s">
        <v>467</v>
      </c>
      <c r="D16" s="226" t="s">
        <v>51</v>
      </c>
      <c r="E16" s="528"/>
      <c r="F16" s="228"/>
      <c r="G16" s="236">
        <f>G56</f>
        <v>0</v>
      </c>
      <c r="H16" s="230"/>
    </row>
    <row r="17" spans="1:8" ht="15">
      <c r="A17" s="527" t="s">
        <v>71</v>
      </c>
      <c r="B17" s="224"/>
      <c r="C17" s="262" t="s">
        <v>72</v>
      </c>
      <c r="D17" s="243" t="s">
        <v>51</v>
      </c>
      <c r="E17" s="535"/>
      <c r="F17" s="245"/>
      <c r="G17" s="240">
        <f>G68</f>
        <v>0</v>
      </c>
      <c r="H17" s="230"/>
    </row>
    <row r="18" spans="1:8" ht="15">
      <c r="A18" s="527" t="s">
        <v>73</v>
      </c>
      <c r="B18" s="224"/>
      <c r="C18" s="262" t="s">
        <v>74</v>
      </c>
      <c r="D18" s="243" t="s">
        <v>51</v>
      </c>
      <c r="E18" s="535"/>
      <c r="F18" s="245"/>
      <c r="G18" s="240">
        <f>G77</f>
        <v>0</v>
      </c>
      <c r="H18" s="230"/>
    </row>
    <row r="19" spans="1:8" ht="15">
      <c r="A19" s="527" t="s">
        <v>75</v>
      </c>
      <c r="B19" s="224"/>
      <c r="C19" s="262" t="s">
        <v>80</v>
      </c>
      <c r="D19" s="243" t="s">
        <v>51</v>
      </c>
      <c r="E19" s="535"/>
      <c r="F19" s="245"/>
      <c r="G19" s="240">
        <f>G77</f>
        <v>0</v>
      </c>
      <c r="H19" s="230"/>
    </row>
    <row r="20" spans="1:8" ht="15">
      <c r="A20" s="527" t="s">
        <v>79</v>
      </c>
      <c r="B20" s="569"/>
      <c r="C20" s="242" t="s">
        <v>82</v>
      </c>
      <c r="D20" s="243" t="s">
        <v>51</v>
      </c>
      <c r="E20" s="535"/>
      <c r="F20" s="245"/>
      <c r="G20" s="240">
        <f>'[1]VV EL silnoproud NB 225'!C29</f>
        <v>0</v>
      </c>
      <c r="H20" s="588"/>
    </row>
    <row r="21" spans="1:8" ht="15">
      <c r="A21" s="527" t="s">
        <v>486</v>
      </c>
      <c r="B21" s="224"/>
      <c r="C21" s="242" t="s">
        <v>84</v>
      </c>
      <c r="D21" s="243" t="s">
        <v>51</v>
      </c>
      <c r="E21" s="535"/>
      <c r="F21" s="245"/>
      <c r="G21" s="240">
        <f>'[1]VV EL slaboproud NB 225'!G5</f>
        <v>0</v>
      </c>
      <c r="H21" s="241"/>
    </row>
    <row r="22" spans="1:8" ht="15">
      <c r="A22" s="527" t="s">
        <v>81</v>
      </c>
      <c r="B22" s="589"/>
      <c r="C22" s="242" t="s">
        <v>86</v>
      </c>
      <c r="D22" s="243" t="s">
        <v>51</v>
      </c>
      <c r="E22" s="535"/>
      <c r="F22" s="245"/>
      <c r="G22" s="240">
        <f>'[1]VV ZTI NB 225'!K9</f>
        <v>0</v>
      </c>
      <c r="H22" s="588"/>
    </row>
    <row r="23" spans="1:8" ht="15">
      <c r="A23" s="527" t="s">
        <v>83</v>
      </c>
      <c r="B23" s="589"/>
      <c r="C23" s="590"/>
      <c r="D23" s="591"/>
      <c r="E23" s="592"/>
      <c r="F23" s="593"/>
      <c r="G23" s="594"/>
      <c r="H23" s="588"/>
    </row>
    <row r="24" spans="1:8" ht="15">
      <c r="A24" s="527" t="s">
        <v>85</v>
      </c>
      <c r="B24" s="589"/>
      <c r="C24" s="590"/>
      <c r="D24" s="591"/>
      <c r="E24" s="592"/>
      <c r="F24" s="593"/>
      <c r="G24" s="594"/>
      <c r="H24" s="588"/>
    </row>
    <row r="25" spans="1:8" ht="15">
      <c r="A25" s="527" t="s">
        <v>87</v>
      </c>
      <c r="B25" s="224"/>
      <c r="C25" s="233" t="s">
        <v>58</v>
      </c>
      <c r="D25" s="226" t="s">
        <v>51</v>
      </c>
      <c r="E25" s="528"/>
      <c r="F25" s="228"/>
      <c r="G25" s="229">
        <f>SUM(G15:G22)</f>
        <v>0</v>
      </c>
      <c r="H25" s="230"/>
    </row>
    <row r="26" spans="1:8" ht="15">
      <c r="A26" s="527" t="s">
        <v>88</v>
      </c>
      <c r="B26" s="224"/>
      <c r="C26" s="237" t="s">
        <v>59</v>
      </c>
      <c r="D26" s="226"/>
      <c r="E26" s="528"/>
      <c r="F26" s="228"/>
      <c r="G26" s="247"/>
      <c r="H26" s="230"/>
    </row>
    <row r="27" spans="1:8" ht="15">
      <c r="A27" s="527" t="s">
        <v>89</v>
      </c>
      <c r="B27" s="224"/>
      <c r="C27" s="246" t="s">
        <v>60</v>
      </c>
      <c r="D27" s="226" t="s">
        <v>51</v>
      </c>
      <c r="E27" s="528"/>
      <c r="F27" s="228"/>
      <c r="G27" s="236">
        <f>G25*0.025</f>
        <v>0</v>
      </c>
      <c r="H27" s="230"/>
    </row>
    <row r="28" spans="1:8" ht="15">
      <c r="A28" s="527" t="s">
        <v>90</v>
      </c>
      <c r="B28" s="224"/>
      <c r="C28" s="246"/>
      <c r="D28" s="226"/>
      <c r="E28" s="528"/>
      <c r="F28" s="228"/>
      <c r="G28" s="236"/>
      <c r="H28" s="230"/>
    </row>
    <row r="29" spans="1:8" ht="15">
      <c r="A29" s="527" t="s">
        <v>91</v>
      </c>
      <c r="B29" s="224"/>
      <c r="C29" s="246"/>
      <c r="D29" s="226"/>
      <c r="E29" s="528"/>
      <c r="F29" s="228"/>
      <c r="G29" s="236"/>
      <c r="H29" s="230"/>
    </row>
    <row r="30" spans="1:8" ht="15">
      <c r="A30" s="527" t="s">
        <v>92</v>
      </c>
      <c r="B30" s="224"/>
      <c r="C30" s="248" t="s">
        <v>61</v>
      </c>
      <c r="D30" s="226" t="s">
        <v>51</v>
      </c>
      <c r="E30" s="528"/>
      <c r="F30" s="228"/>
      <c r="G30" s="229">
        <f>SUM(G25:G29)</f>
        <v>0</v>
      </c>
      <c r="H30" s="230"/>
    </row>
    <row r="31" spans="1:8" ht="15">
      <c r="A31" s="527" t="s">
        <v>93</v>
      </c>
      <c r="B31" s="224"/>
      <c r="C31" s="246"/>
      <c r="D31" s="226"/>
      <c r="E31" s="528"/>
      <c r="F31" s="228"/>
      <c r="G31" s="236"/>
      <c r="H31" s="230"/>
    </row>
    <row r="32" spans="1:8" ht="15">
      <c r="A32" s="527" t="s">
        <v>94</v>
      </c>
      <c r="B32" s="224"/>
      <c r="C32" s="246"/>
      <c r="D32" s="226"/>
      <c r="E32" s="528"/>
      <c r="F32" s="228"/>
      <c r="G32" s="236"/>
      <c r="H32" s="230"/>
    </row>
    <row r="33" spans="1:8" ht="15">
      <c r="A33" s="527" t="s">
        <v>95</v>
      </c>
      <c r="B33" s="224"/>
      <c r="C33" s="248" t="s">
        <v>62</v>
      </c>
      <c r="D33" s="226" t="s">
        <v>51</v>
      </c>
      <c r="E33" s="528"/>
      <c r="F33" s="228"/>
      <c r="G33" s="236">
        <f>G30*0.21</f>
        <v>0</v>
      </c>
      <c r="H33" s="230"/>
    </row>
    <row r="34" spans="1:8" ht="15">
      <c r="A34" s="527" t="s">
        <v>96</v>
      </c>
      <c r="B34" s="224"/>
      <c r="C34" s="248"/>
      <c r="D34" s="226"/>
      <c r="E34" s="528"/>
      <c r="F34" s="228"/>
      <c r="G34" s="236"/>
      <c r="H34" s="230"/>
    </row>
    <row r="35" spans="1:8" ht="15">
      <c r="A35" s="527" t="s">
        <v>97</v>
      </c>
      <c r="B35" s="224"/>
      <c r="C35" s="233" t="s">
        <v>63</v>
      </c>
      <c r="D35" s="226" t="s">
        <v>51</v>
      </c>
      <c r="E35" s="528"/>
      <c r="F35" s="228"/>
      <c r="G35" s="229">
        <f>SUM(G30:G34)</f>
        <v>0</v>
      </c>
      <c r="H35" s="230"/>
    </row>
    <row r="36" spans="1:8" ht="15">
      <c r="A36" s="527" t="s">
        <v>98</v>
      </c>
      <c r="B36" s="224"/>
      <c r="C36" s="233"/>
      <c r="D36" s="226"/>
      <c r="E36" s="528"/>
      <c r="F36" s="228"/>
      <c r="G36" s="229"/>
      <c r="H36" s="230"/>
    </row>
    <row r="37" spans="1:8" ht="15">
      <c r="A37" s="478" t="s">
        <v>99</v>
      </c>
      <c r="B37" s="276"/>
      <c r="C37" s="62"/>
      <c r="D37" s="277"/>
      <c r="E37" s="477"/>
      <c r="F37" s="57"/>
      <c r="G37" s="58"/>
      <c r="H37" s="139"/>
    </row>
    <row r="38" spans="1:8" ht="15">
      <c r="A38" s="478" t="s">
        <v>100</v>
      </c>
      <c r="B38" s="276"/>
      <c r="C38" s="62"/>
      <c r="D38" s="277"/>
      <c r="E38" s="477"/>
      <c r="F38" s="57"/>
      <c r="G38" s="58"/>
      <c r="H38" s="139"/>
    </row>
    <row r="39" spans="1:8" ht="15">
      <c r="A39" s="478" t="s">
        <v>101</v>
      </c>
      <c r="B39" s="276"/>
      <c r="C39" s="62"/>
      <c r="D39" s="277"/>
      <c r="E39" s="477"/>
      <c r="F39" s="57"/>
      <c r="G39" s="58"/>
      <c r="H39" s="139"/>
    </row>
    <row r="40" spans="1:8" ht="25.5">
      <c r="A40" s="579" t="s">
        <v>102</v>
      </c>
      <c r="B40" s="167" t="s">
        <v>105</v>
      </c>
      <c r="C40" s="167" t="s">
        <v>106</v>
      </c>
      <c r="D40" s="167" t="s">
        <v>107</v>
      </c>
      <c r="E40" s="598" t="s">
        <v>108</v>
      </c>
      <c r="F40" s="168" t="s">
        <v>109</v>
      </c>
      <c r="G40" s="169" t="s">
        <v>110</v>
      </c>
      <c r="H40" s="170" t="s">
        <v>240</v>
      </c>
    </row>
    <row r="41" spans="1:8" ht="89.25">
      <c r="A41" s="579" t="s">
        <v>103</v>
      </c>
      <c r="B41" s="144"/>
      <c r="C41" s="171" t="s">
        <v>113</v>
      </c>
      <c r="D41" s="145"/>
      <c r="E41" s="578"/>
      <c r="F41" s="147"/>
      <c r="G41" s="155"/>
      <c r="H41" s="149"/>
    </row>
    <row r="42" spans="1:8" ht="26.25">
      <c r="A42" s="579" t="s">
        <v>104</v>
      </c>
      <c r="B42" s="144"/>
      <c r="C42" s="172" t="s">
        <v>115</v>
      </c>
      <c r="D42" s="145"/>
      <c r="E42" s="578"/>
      <c r="F42" s="147"/>
      <c r="G42" s="155"/>
      <c r="H42" s="149"/>
    </row>
    <row r="43" spans="1:8" ht="39">
      <c r="A43" s="579" t="s">
        <v>112</v>
      </c>
      <c r="B43" s="144"/>
      <c r="C43" s="173" t="s">
        <v>117</v>
      </c>
      <c r="D43" s="145"/>
      <c r="E43" s="578"/>
      <c r="F43" s="147"/>
      <c r="G43" s="155"/>
      <c r="H43" s="149"/>
    </row>
    <row r="44" spans="1:8" ht="15">
      <c r="A44" s="579" t="s">
        <v>114</v>
      </c>
      <c r="B44" s="144"/>
      <c r="C44" s="173"/>
      <c r="D44" s="145"/>
      <c r="E44" s="578"/>
      <c r="F44" s="147"/>
      <c r="G44" s="155"/>
      <c r="H44" s="149"/>
    </row>
    <row r="45" spans="1:8" ht="15">
      <c r="A45" s="579" t="s">
        <v>116</v>
      </c>
      <c r="B45" s="144"/>
      <c r="C45" s="173"/>
      <c r="D45" s="145"/>
      <c r="E45" s="146"/>
      <c r="F45" s="147"/>
      <c r="G45" s="155"/>
      <c r="H45" s="149"/>
    </row>
    <row r="46" spans="1:8" ht="15">
      <c r="A46" s="579" t="s">
        <v>118</v>
      </c>
      <c r="B46" s="144"/>
      <c r="C46" s="174" t="s">
        <v>487</v>
      </c>
      <c r="D46" s="145"/>
      <c r="E46" s="146"/>
      <c r="F46" s="147"/>
      <c r="G46" s="155"/>
      <c r="H46" s="149"/>
    </row>
    <row r="47" spans="1:8" ht="15">
      <c r="A47" s="579" t="s">
        <v>119</v>
      </c>
      <c r="B47" s="144"/>
      <c r="C47" s="174"/>
      <c r="D47" s="145"/>
      <c r="E47" s="146"/>
      <c r="F47" s="147"/>
      <c r="G47" s="155"/>
      <c r="H47" s="149"/>
    </row>
    <row r="48" spans="1:8" ht="15">
      <c r="A48" s="579" t="s">
        <v>121</v>
      </c>
      <c r="B48" s="175"/>
      <c r="C48" s="176" t="s">
        <v>123</v>
      </c>
      <c r="D48" s="177" t="s">
        <v>51</v>
      </c>
      <c r="E48" s="178" t="s">
        <v>124</v>
      </c>
      <c r="F48" s="179"/>
      <c r="G48" s="180">
        <f>SUM(G49:G53)</f>
        <v>0</v>
      </c>
      <c r="H48" s="178"/>
    </row>
    <row r="49" spans="1:8" ht="39">
      <c r="A49" s="579" t="s">
        <v>122</v>
      </c>
      <c r="B49" s="184" t="s">
        <v>132</v>
      </c>
      <c r="C49" s="160" t="s">
        <v>241</v>
      </c>
      <c r="D49" s="181" t="s">
        <v>127</v>
      </c>
      <c r="E49" s="162">
        <v>1</v>
      </c>
      <c r="F49" s="179">
        <v>0</v>
      </c>
      <c r="G49" s="182">
        <f>E49*F49</f>
        <v>0</v>
      </c>
      <c r="H49" s="183"/>
    </row>
    <row r="50" spans="1:8" ht="51.75">
      <c r="A50" s="579" t="s">
        <v>125</v>
      </c>
      <c r="B50" s="184"/>
      <c r="C50" s="160" t="s">
        <v>563</v>
      </c>
      <c r="D50" s="161" t="s">
        <v>130</v>
      </c>
      <c r="E50" s="162">
        <f>6.04*5.9-0.5*0.95-0.5*0.15*4-0.25*0.5*4</f>
        <v>34.361000000000004</v>
      </c>
      <c r="F50" s="163">
        <v>0</v>
      </c>
      <c r="G50" s="182">
        <f>E50*F50</f>
        <v>0</v>
      </c>
      <c r="H50" s="183"/>
    </row>
    <row r="51" spans="1:8" ht="25.5">
      <c r="A51" s="579" t="s">
        <v>128</v>
      </c>
      <c r="B51" s="184" t="s">
        <v>132</v>
      </c>
      <c r="C51" s="185" t="s">
        <v>242</v>
      </c>
      <c r="D51" s="161" t="s">
        <v>134</v>
      </c>
      <c r="E51" s="162">
        <v>3</v>
      </c>
      <c r="F51" s="163">
        <v>0</v>
      </c>
      <c r="G51" s="182">
        <f>E51*F51</f>
        <v>0</v>
      </c>
      <c r="H51" s="183"/>
    </row>
    <row r="52" spans="1:8" ht="26.25">
      <c r="A52" s="579" t="s">
        <v>131</v>
      </c>
      <c r="B52" s="184" t="s">
        <v>456</v>
      </c>
      <c r="C52" s="186" t="s">
        <v>564</v>
      </c>
      <c r="D52" s="161" t="s">
        <v>127</v>
      </c>
      <c r="E52" s="162">
        <v>1</v>
      </c>
      <c r="F52" s="163">
        <v>0</v>
      </c>
      <c r="G52" s="187">
        <f>E52*F52</f>
        <v>0</v>
      </c>
      <c r="H52" s="188"/>
    </row>
    <row r="53" spans="1:8" ht="15">
      <c r="A53" s="579" t="s">
        <v>135</v>
      </c>
      <c r="B53" s="184" t="s">
        <v>141</v>
      </c>
      <c r="C53" s="186" t="s">
        <v>565</v>
      </c>
      <c r="D53" s="161" t="s">
        <v>127</v>
      </c>
      <c r="E53" s="162">
        <v>1</v>
      </c>
      <c r="F53" s="163">
        <v>0</v>
      </c>
      <c r="G53" s="187">
        <f>E53*F53</f>
        <v>0</v>
      </c>
      <c r="H53" s="188"/>
    </row>
    <row r="54" spans="1:8" ht="15">
      <c r="A54" s="579" t="s">
        <v>137</v>
      </c>
      <c r="B54" s="184"/>
      <c r="C54" s="189"/>
      <c r="D54" s="161"/>
      <c r="E54" s="162"/>
      <c r="F54" s="163"/>
      <c r="G54" s="159"/>
      <c r="H54" s="188"/>
    </row>
    <row r="55" spans="1:8" ht="15">
      <c r="A55" s="579" t="s">
        <v>140</v>
      </c>
      <c r="B55" s="184"/>
      <c r="C55" s="189"/>
      <c r="D55" s="161"/>
      <c r="E55" s="162"/>
      <c r="F55" s="163"/>
      <c r="G55" s="159"/>
      <c r="H55" s="188"/>
    </row>
    <row r="56" spans="1:8" ht="15">
      <c r="A56" s="579" t="s">
        <v>143</v>
      </c>
      <c r="B56" s="175"/>
      <c r="C56" s="190" t="s">
        <v>146</v>
      </c>
      <c r="D56" s="177" t="s">
        <v>51</v>
      </c>
      <c r="E56" s="178" t="s">
        <v>124</v>
      </c>
      <c r="F56" s="179"/>
      <c r="G56" s="180">
        <f>SUM(G57:G66)</f>
        <v>0</v>
      </c>
      <c r="H56" s="178">
        <f>SUM(H57:H60)</f>
        <v>0.8029999999999999</v>
      </c>
    </row>
    <row r="57" spans="1:8" ht="26.25">
      <c r="A57" s="579" t="s">
        <v>144</v>
      </c>
      <c r="B57" s="175">
        <v>974031153</v>
      </c>
      <c r="C57" s="191" t="s">
        <v>243</v>
      </c>
      <c r="D57" s="192" t="s">
        <v>149</v>
      </c>
      <c r="E57" s="183">
        <v>15</v>
      </c>
      <c r="F57" s="179">
        <v>0</v>
      </c>
      <c r="G57" s="193">
        <f>E57*F57</f>
        <v>0</v>
      </c>
      <c r="H57" s="183">
        <f>0.018*E57</f>
        <v>0.26999999999999996</v>
      </c>
    </row>
    <row r="58" spans="1:8" ht="26.25">
      <c r="A58" s="579" t="s">
        <v>145</v>
      </c>
      <c r="B58" s="175">
        <v>974031122</v>
      </c>
      <c r="C58" s="191" t="s">
        <v>244</v>
      </c>
      <c r="D58" s="192" t="s">
        <v>149</v>
      </c>
      <c r="E58" s="183">
        <v>40</v>
      </c>
      <c r="F58" s="179">
        <v>0</v>
      </c>
      <c r="G58" s="193">
        <f>E58*F58</f>
        <v>0</v>
      </c>
      <c r="H58" s="183">
        <f>0.004*E58</f>
        <v>0.16</v>
      </c>
    </row>
    <row r="59" spans="1:8" ht="26.25">
      <c r="A59" s="579" t="s">
        <v>147</v>
      </c>
      <c r="B59" s="175">
        <v>973031324</v>
      </c>
      <c r="C59" s="191" t="s">
        <v>245</v>
      </c>
      <c r="D59" s="192" t="s">
        <v>127</v>
      </c>
      <c r="E59" s="183">
        <f>8+6</f>
        <v>14</v>
      </c>
      <c r="F59" s="179">
        <v>0</v>
      </c>
      <c r="G59" s="193">
        <f>E59*F59</f>
        <v>0</v>
      </c>
      <c r="H59" s="183">
        <f>0.015*E59</f>
        <v>0.21</v>
      </c>
    </row>
    <row r="60" spans="1:8" ht="26.25">
      <c r="A60" s="579" t="s">
        <v>150</v>
      </c>
      <c r="B60" s="175">
        <v>781471810</v>
      </c>
      <c r="C60" s="191" t="s">
        <v>246</v>
      </c>
      <c r="D60" s="192" t="s">
        <v>130</v>
      </c>
      <c r="E60" s="183">
        <v>2</v>
      </c>
      <c r="F60" s="179">
        <v>0</v>
      </c>
      <c r="G60" s="193">
        <f>E60*F60</f>
        <v>0</v>
      </c>
      <c r="H60" s="183">
        <f>0.0815*E60</f>
        <v>0.163</v>
      </c>
    </row>
    <row r="61" spans="1:8" ht="26.25">
      <c r="A61" s="579" t="s">
        <v>152</v>
      </c>
      <c r="B61" s="175">
        <v>997013153</v>
      </c>
      <c r="C61" s="194" t="s">
        <v>566</v>
      </c>
      <c r="D61" s="195" t="s">
        <v>157</v>
      </c>
      <c r="E61" s="196">
        <f>0.55+0.01+0.04</f>
        <v>0.6000000000000001</v>
      </c>
      <c r="F61" s="197">
        <v>0</v>
      </c>
      <c r="G61" s="182">
        <f>E61*F61</f>
        <v>0</v>
      </c>
      <c r="H61" s="183"/>
    </row>
    <row r="62" spans="1:8" ht="15">
      <c r="A62" s="579" t="s">
        <v>153</v>
      </c>
      <c r="B62" s="175"/>
      <c r="C62" s="194" t="s">
        <v>488</v>
      </c>
      <c r="D62" s="195"/>
      <c r="E62" s="196"/>
      <c r="F62" s="197"/>
      <c r="G62" s="182"/>
      <c r="H62" s="183"/>
    </row>
    <row r="63" spans="1:8" ht="26.25">
      <c r="A63" s="579" t="s">
        <v>155</v>
      </c>
      <c r="B63" s="175">
        <v>997013501</v>
      </c>
      <c r="C63" s="194" t="s">
        <v>248</v>
      </c>
      <c r="D63" s="195" t="s">
        <v>157</v>
      </c>
      <c r="E63" s="196">
        <f>E61</f>
        <v>0.6000000000000001</v>
      </c>
      <c r="F63" s="197">
        <v>0</v>
      </c>
      <c r="G63" s="182">
        <f>E63*F63</f>
        <v>0</v>
      </c>
      <c r="H63" s="183"/>
    </row>
    <row r="64" spans="1:8" ht="39">
      <c r="A64" s="579" t="s">
        <v>158</v>
      </c>
      <c r="B64" s="175">
        <v>997013509</v>
      </c>
      <c r="C64" s="194" t="s">
        <v>249</v>
      </c>
      <c r="D64" s="195" t="s">
        <v>157</v>
      </c>
      <c r="E64" s="196">
        <f>E61</f>
        <v>0.6000000000000001</v>
      </c>
      <c r="F64" s="197">
        <v>0</v>
      </c>
      <c r="G64" s="182">
        <f>E64*F64</f>
        <v>0</v>
      </c>
      <c r="H64" s="183"/>
    </row>
    <row r="65" spans="1:8" ht="39">
      <c r="A65" s="579" t="s">
        <v>160</v>
      </c>
      <c r="B65" s="175">
        <v>469973114</v>
      </c>
      <c r="C65" s="194" t="s">
        <v>250</v>
      </c>
      <c r="D65" s="195" t="s">
        <v>157</v>
      </c>
      <c r="E65" s="196">
        <f>0.55+0.04</f>
        <v>0.5900000000000001</v>
      </c>
      <c r="F65" s="197">
        <v>0</v>
      </c>
      <c r="G65" s="182">
        <f>E65*F65</f>
        <v>0</v>
      </c>
      <c r="H65" s="183"/>
    </row>
    <row r="66" spans="1:8" ht="39">
      <c r="A66" s="579" t="s">
        <v>162</v>
      </c>
      <c r="B66" s="175">
        <v>997013813</v>
      </c>
      <c r="C66" s="194" t="s">
        <v>251</v>
      </c>
      <c r="D66" s="195" t="s">
        <v>157</v>
      </c>
      <c r="E66" s="196">
        <v>0.01</v>
      </c>
      <c r="F66" s="197">
        <v>0</v>
      </c>
      <c r="G66" s="182">
        <f>E66*F66</f>
        <v>0</v>
      </c>
      <c r="H66" s="183"/>
    </row>
    <row r="67" spans="1:8" ht="15">
      <c r="A67" s="579" t="s">
        <v>164</v>
      </c>
      <c r="B67" s="175"/>
      <c r="C67" s="199"/>
      <c r="D67" s="200"/>
      <c r="E67" s="201"/>
      <c r="F67" s="202"/>
      <c r="G67" s="203"/>
      <c r="H67" s="204"/>
    </row>
    <row r="68" spans="1:8" ht="15">
      <c r="A68" s="579" t="s">
        <v>166</v>
      </c>
      <c r="B68" s="175"/>
      <c r="C68" s="205" t="s">
        <v>170</v>
      </c>
      <c r="D68" s="177" t="s">
        <v>51</v>
      </c>
      <c r="E68" s="178" t="s">
        <v>124</v>
      </c>
      <c r="F68" s="179"/>
      <c r="G68" s="180">
        <f>SUM(G69:G74)</f>
        <v>0</v>
      </c>
      <c r="H68" s="178">
        <f>SUM(H69:H74)</f>
        <v>0.80480894</v>
      </c>
    </row>
    <row r="69" spans="1:8" ht="26.25">
      <c r="A69" s="579" t="s">
        <v>168</v>
      </c>
      <c r="B69" s="175">
        <v>612135101</v>
      </c>
      <c r="C69" s="199" t="s">
        <v>567</v>
      </c>
      <c r="D69" s="200" t="s">
        <v>130</v>
      </c>
      <c r="E69" s="201">
        <f>0.1*15+0.07*40</f>
        <v>4.300000000000001</v>
      </c>
      <c r="F69" s="202">
        <v>0</v>
      </c>
      <c r="G69" s="182">
        <f aca="true" t="shared" si="0" ref="G69:G74">E69*F69</f>
        <v>0</v>
      </c>
      <c r="H69" s="206">
        <f>0.056*E69</f>
        <v>0.24080000000000004</v>
      </c>
    </row>
    <row r="70" spans="1:8" ht="26.25">
      <c r="A70" s="579" t="s">
        <v>169</v>
      </c>
      <c r="B70" s="175">
        <v>612325121</v>
      </c>
      <c r="C70" s="199" t="s">
        <v>568</v>
      </c>
      <c r="D70" s="200" t="s">
        <v>130</v>
      </c>
      <c r="E70" s="201">
        <f>0.15*(15+40)</f>
        <v>8.25</v>
      </c>
      <c r="F70" s="202">
        <v>0</v>
      </c>
      <c r="G70" s="182">
        <f t="shared" si="0"/>
        <v>0</v>
      </c>
      <c r="H70" s="206">
        <f>0.04153*E70</f>
        <v>0.3426225</v>
      </c>
    </row>
    <row r="71" spans="1:8" ht="26.25">
      <c r="A71" s="579" t="s">
        <v>171</v>
      </c>
      <c r="B71" s="175">
        <v>612315222</v>
      </c>
      <c r="C71" s="199" t="s">
        <v>559</v>
      </c>
      <c r="D71" s="200" t="s">
        <v>127</v>
      </c>
      <c r="E71" s="201">
        <v>14</v>
      </c>
      <c r="F71" s="202">
        <v>0</v>
      </c>
      <c r="G71" s="182">
        <f t="shared" si="0"/>
        <v>0</v>
      </c>
      <c r="H71" s="206">
        <f>0.01*E71</f>
        <v>0.14</v>
      </c>
    </row>
    <row r="72" spans="1:8" ht="39">
      <c r="A72" s="579" t="s">
        <v>173</v>
      </c>
      <c r="B72" s="175" t="s">
        <v>178</v>
      </c>
      <c r="C72" s="199" t="s">
        <v>560</v>
      </c>
      <c r="D72" s="200" t="s">
        <v>180</v>
      </c>
      <c r="E72" s="201">
        <v>1</v>
      </c>
      <c r="F72" s="202">
        <v>0</v>
      </c>
      <c r="G72" s="182">
        <f t="shared" si="0"/>
        <v>0</v>
      </c>
      <c r="H72" s="206">
        <f>0.08</f>
        <v>0.08</v>
      </c>
    </row>
    <row r="73" spans="1:8" ht="51.75">
      <c r="A73" s="579" t="s">
        <v>175</v>
      </c>
      <c r="B73" s="198">
        <v>952901111</v>
      </c>
      <c r="C73" s="199" t="s">
        <v>489</v>
      </c>
      <c r="D73" s="200"/>
      <c r="E73" s="201">
        <f>6.04*5.9-0.95*0.5-0.15*0.5*4-0.4*0.5</f>
        <v>34.661</v>
      </c>
      <c r="F73" s="202">
        <v>0</v>
      </c>
      <c r="G73" s="182">
        <f t="shared" si="0"/>
        <v>0</v>
      </c>
      <c r="H73" s="206">
        <f>0.00004*E73</f>
        <v>0.00138644</v>
      </c>
    </row>
    <row r="74" spans="1:8" ht="15">
      <c r="A74" s="579" t="s">
        <v>177</v>
      </c>
      <c r="B74" s="175">
        <v>998011002</v>
      </c>
      <c r="C74" s="207" t="s">
        <v>569</v>
      </c>
      <c r="D74" s="200" t="s">
        <v>157</v>
      </c>
      <c r="E74" s="201">
        <f>H68</f>
        <v>0.80480894</v>
      </c>
      <c r="F74" s="202">
        <v>0</v>
      </c>
      <c r="G74" s="182">
        <f t="shared" si="0"/>
        <v>0</v>
      </c>
      <c r="H74" s="204"/>
    </row>
    <row r="75" spans="1:8" ht="15">
      <c r="A75" s="579" t="s">
        <v>181</v>
      </c>
      <c r="B75" s="175"/>
      <c r="C75" s="199"/>
      <c r="D75" s="200"/>
      <c r="E75" s="201"/>
      <c r="F75" s="202"/>
      <c r="G75" s="203"/>
      <c r="H75" s="204"/>
    </row>
    <row r="76" spans="1:8" ht="15">
      <c r="A76" s="579" t="s">
        <v>183</v>
      </c>
      <c r="B76" s="175"/>
      <c r="C76" s="205"/>
      <c r="D76" s="208"/>
      <c r="E76" s="209"/>
      <c r="F76" s="202"/>
      <c r="G76" s="210"/>
      <c r="H76" s="204"/>
    </row>
    <row r="77" spans="1:8" ht="15">
      <c r="A77" s="579" t="s">
        <v>185</v>
      </c>
      <c r="B77" s="175"/>
      <c r="C77" s="205" t="s">
        <v>188</v>
      </c>
      <c r="D77" s="200" t="s">
        <v>51</v>
      </c>
      <c r="E77" s="201" t="s">
        <v>189</v>
      </c>
      <c r="F77" s="202"/>
      <c r="G77" s="210">
        <f>SUM(G78:G88)</f>
        <v>0</v>
      </c>
      <c r="H77" s="204"/>
    </row>
    <row r="78" spans="1:8" ht="76.5">
      <c r="A78" s="579" t="s">
        <v>186</v>
      </c>
      <c r="B78" s="175">
        <v>776201812</v>
      </c>
      <c r="C78" s="211" t="s">
        <v>570</v>
      </c>
      <c r="D78" s="200" t="s">
        <v>130</v>
      </c>
      <c r="E78" s="162">
        <f>6.04*5.9-0.5*0.95-0.5*0.15*4-0.4*0.5</f>
        <v>34.661</v>
      </c>
      <c r="F78" s="202">
        <v>0</v>
      </c>
      <c r="G78" s="203">
        <f aca="true" t="shared" si="1" ref="G78:G87">E78*F78</f>
        <v>0</v>
      </c>
      <c r="H78" s="204">
        <f>0.003*E78</f>
        <v>0.103983</v>
      </c>
    </row>
    <row r="79" spans="1:8" ht="51">
      <c r="A79" s="579" t="s">
        <v>187</v>
      </c>
      <c r="B79" s="175">
        <v>776410811</v>
      </c>
      <c r="C79" s="211" t="s">
        <v>571</v>
      </c>
      <c r="D79" s="200" t="s">
        <v>149</v>
      </c>
      <c r="E79" s="201">
        <f>(6.04+5.9)*2+0.95*2+0.5*2*5</f>
        <v>30.78</v>
      </c>
      <c r="F79" s="202">
        <v>0</v>
      </c>
      <c r="G79" s="203">
        <f t="shared" si="1"/>
        <v>0</v>
      </c>
      <c r="H79" s="204">
        <f>0.0003*E79</f>
        <v>0.009234</v>
      </c>
    </row>
    <row r="80" spans="1:8" ht="39">
      <c r="A80" s="579" t="s">
        <v>190</v>
      </c>
      <c r="B80" s="175">
        <v>776991821</v>
      </c>
      <c r="C80" s="199" t="s">
        <v>572</v>
      </c>
      <c r="D80" s="200" t="s">
        <v>130</v>
      </c>
      <c r="E80" s="201">
        <f>E78</f>
        <v>34.661</v>
      </c>
      <c r="F80" s="202">
        <v>0</v>
      </c>
      <c r="G80" s="203">
        <f t="shared" si="1"/>
        <v>0</v>
      </c>
      <c r="H80" s="204">
        <v>0</v>
      </c>
    </row>
    <row r="81" spans="1:8" ht="38.25">
      <c r="A81" s="579" t="s">
        <v>191</v>
      </c>
      <c r="B81" s="175">
        <v>776111115</v>
      </c>
      <c r="C81" s="211" t="s">
        <v>255</v>
      </c>
      <c r="D81" s="200" t="s">
        <v>130</v>
      </c>
      <c r="E81" s="201">
        <f>E78</f>
        <v>34.661</v>
      </c>
      <c r="F81" s="202">
        <v>0</v>
      </c>
      <c r="G81" s="203">
        <f t="shared" si="1"/>
        <v>0</v>
      </c>
      <c r="H81" s="204"/>
    </row>
    <row r="82" spans="1:8" ht="38.25">
      <c r="A82" s="579" t="s">
        <v>192</v>
      </c>
      <c r="B82" s="175">
        <v>776121511</v>
      </c>
      <c r="C82" s="212" t="s">
        <v>256</v>
      </c>
      <c r="D82" s="200" t="s">
        <v>130</v>
      </c>
      <c r="E82" s="201">
        <f>E78</f>
        <v>34.661</v>
      </c>
      <c r="F82" s="202">
        <v>0</v>
      </c>
      <c r="G82" s="203">
        <f t="shared" si="1"/>
        <v>0</v>
      </c>
      <c r="H82" s="204"/>
    </row>
    <row r="83" spans="1:8" ht="51.75">
      <c r="A83" s="579" t="s">
        <v>193</v>
      </c>
      <c r="B83" s="175">
        <v>776141112</v>
      </c>
      <c r="C83" s="199" t="s">
        <v>257</v>
      </c>
      <c r="D83" s="200" t="s">
        <v>130</v>
      </c>
      <c r="E83" s="201">
        <f>E78</f>
        <v>34.661</v>
      </c>
      <c r="F83" s="202">
        <v>0</v>
      </c>
      <c r="G83" s="203">
        <f t="shared" si="1"/>
        <v>0</v>
      </c>
      <c r="H83" s="204"/>
    </row>
    <row r="84" spans="1:8" ht="51.75">
      <c r="A84" s="579" t="s">
        <v>194</v>
      </c>
      <c r="B84" s="175">
        <v>776211221</v>
      </c>
      <c r="C84" s="199" t="s">
        <v>258</v>
      </c>
      <c r="D84" s="200" t="s">
        <v>130</v>
      </c>
      <c r="E84" s="201">
        <f>E78</f>
        <v>34.661</v>
      </c>
      <c r="F84" s="202">
        <v>0</v>
      </c>
      <c r="G84" s="203">
        <f t="shared" si="1"/>
        <v>0</v>
      </c>
      <c r="H84" s="204"/>
    </row>
    <row r="85" spans="1:8" ht="26.25">
      <c r="A85" s="579" t="s">
        <v>195</v>
      </c>
      <c r="B85" s="175" t="s">
        <v>178</v>
      </c>
      <c r="C85" s="199" t="s">
        <v>573</v>
      </c>
      <c r="D85" s="200" t="s">
        <v>130</v>
      </c>
      <c r="E85" s="201">
        <f>34.661*1.09</f>
        <v>37.78049000000001</v>
      </c>
      <c r="F85" s="202">
        <v>0</v>
      </c>
      <c r="G85" s="203">
        <f t="shared" si="1"/>
        <v>0</v>
      </c>
      <c r="H85" s="204"/>
    </row>
    <row r="86" spans="1:8" ht="26.25">
      <c r="A86" s="579" t="s">
        <v>196</v>
      </c>
      <c r="B86" s="175">
        <v>776421111</v>
      </c>
      <c r="C86" s="199" t="s">
        <v>574</v>
      </c>
      <c r="D86" s="200" t="s">
        <v>149</v>
      </c>
      <c r="E86" s="201">
        <f>(6.04+5.9)*2+0.95*2+0.5*2*4</f>
        <v>29.78</v>
      </c>
      <c r="F86" s="202">
        <v>0</v>
      </c>
      <c r="G86" s="203">
        <f t="shared" si="1"/>
        <v>0</v>
      </c>
      <c r="H86" s="204"/>
    </row>
    <row r="87" spans="1:8" ht="26.25">
      <c r="A87" s="579" t="s">
        <v>197</v>
      </c>
      <c r="B87" s="175" t="s">
        <v>178</v>
      </c>
      <c r="C87" s="199" t="s">
        <v>575</v>
      </c>
      <c r="D87" s="200" t="s">
        <v>149</v>
      </c>
      <c r="E87" s="201">
        <f>E86*1.09</f>
        <v>32.4602</v>
      </c>
      <c r="F87" s="202">
        <v>0</v>
      </c>
      <c r="G87" s="203">
        <f t="shared" si="1"/>
        <v>0</v>
      </c>
      <c r="H87" s="204"/>
    </row>
    <row r="88" spans="1:8" ht="15">
      <c r="A88" s="579" t="s">
        <v>198</v>
      </c>
      <c r="B88" s="175">
        <v>998776202</v>
      </c>
      <c r="C88" s="199" t="s">
        <v>260</v>
      </c>
      <c r="D88" s="200" t="s">
        <v>201</v>
      </c>
      <c r="E88" s="599">
        <v>0.0038</v>
      </c>
      <c r="F88" s="202">
        <f>SUM(G78:G87)</f>
        <v>0</v>
      </c>
      <c r="G88" s="203">
        <f>E88*F88</f>
        <v>0</v>
      </c>
      <c r="H88" s="204"/>
    </row>
    <row r="89" spans="1:8" ht="15">
      <c r="A89" s="579" t="s">
        <v>199</v>
      </c>
      <c r="B89" s="175"/>
      <c r="C89" s="199"/>
      <c r="D89" s="200"/>
      <c r="E89" s="201"/>
      <c r="F89" s="202"/>
      <c r="G89" s="203"/>
      <c r="H89" s="204"/>
    </row>
    <row r="90" spans="1:8" ht="15">
      <c r="A90" s="579" t="s">
        <v>200</v>
      </c>
      <c r="B90" s="175"/>
      <c r="C90" s="199"/>
      <c r="D90" s="200"/>
      <c r="E90" s="201"/>
      <c r="F90" s="202"/>
      <c r="G90" s="203"/>
      <c r="H90" s="204"/>
    </row>
    <row r="91" spans="1:8" ht="15">
      <c r="A91" s="579" t="s">
        <v>202</v>
      </c>
      <c r="B91" s="175"/>
      <c r="C91" s="215" t="s">
        <v>213</v>
      </c>
      <c r="D91" s="200"/>
      <c r="E91" s="201"/>
      <c r="F91" s="202"/>
      <c r="G91" s="203"/>
      <c r="H91" s="204"/>
    </row>
    <row r="92" spans="1:8" ht="15">
      <c r="A92" s="579" t="s">
        <v>203</v>
      </c>
      <c r="B92" s="175"/>
      <c r="C92" s="199" t="s">
        <v>490</v>
      </c>
      <c r="D92" s="208" t="s">
        <v>206</v>
      </c>
      <c r="E92" s="209" t="s">
        <v>124</v>
      </c>
      <c r="F92" s="213"/>
      <c r="G92" s="210">
        <f>SUM(G93:G97)</f>
        <v>0</v>
      </c>
      <c r="H92" s="204"/>
    </row>
    <row r="93" spans="1:8" ht="15">
      <c r="A93" s="579" t="s">
        <v>204</v>
      </c>
      <c r="B93" s="175">
        <v>781111011</v>
      </c>
      <c r="C93" s="199" t="s">
        <v>261</v>
      </c>
      <c r="D93" s="200" t="s">
        <v>130</v>
      </c>
      <c r="E93" s="201">
        <f>((0.9+0.5*2)+0.15*2)*0.6</f>
        <v>1.3199999999999998</v>
      </c>
      <c r="F93" s="202">
        <v>0</v>
      </c>
      <c r="G93" s="203">
        <f>E93*F93</f>
        <v>0</v>
      </c>
      <c r="H93" s="204"/>
    </row>
    <row r="94" spans="1:8" ht="15">
      <c r="A94" s="579" t="s">
        <v>207</v>
      </c>
      <c r="B94" s="175">
        <v>781121011</v>
      </c>
      <c r="C94" s="199" t="s">
        <v>262</v>
      </c>
      <c r="D94" s="200" t="s">
        <v>130</v>
      </c>
      <c r="E94" s="201">
        <f>E93</f>
        <v>1.3199999999999998</v>
      </c>
      <c r="F94" s="202">
        <v>0</v>
      </c>
      <c r="G94" s="203">
        <f>E94*F94</f>
        <v>0</v>
      </c>
      <c r="H94" s="204"/>
    </row>
    <row r="95" spans="1:8" ht="39">
      <c r="A95" s="579" t="s">
        <v>209</v>
      </c>
      <c r="B95" s="175">
        <v>781474164</v>
      </c>
      <c r="C95" s="199" t="s">
        <v>263</v>
      </c>
      <c r="D95" s="200" t="s">
        <v>130</v>
      </c>
      <c r="E95" s="201">
        <f>E93</f>
        <v>1.3199999999999998</v>
      </c>
      <c r="F95" s="202">
        <v>0</v>
      </c>
      <c r="G95" s="203">
        <f>E95*F95</f>
        <v>0</v>
      </c>
      <c r="H95" s="204"/>
    </row>
    <row r="96" spans="1:8" ht="15">
      <c r="A96" s="579" t="s">
        <v>210</v>
      </c>
      <c r="B96" s="175" t="s">
        <v>178</v>
      </c>
      <c r="C96" s="207" t="s">
        <v>264</v>
      </c>
      <c r="D96" s="200" t="s">
        <v>130</v>
      </c>
      <c r="E96" s="201">
        <f>1.32*1.1</f>
        <v>1.4520000000000002</v>
      </c>
      <c r="F96" s="202">
        <v>0</v>
      </c>
      <c r="G96" s="203">
        <f>E96*F96</f>
        <v>0</v>
      </c>
      <c r="H96" s="204"/>
    </row>
    <row r="97" spans="1:8" ht="15">
      <c r="A97" s="579" t="s">
        <v>211</v>
      </c>
      <c r="B97" s="175">
        <v>998781202</v>
      </c>
      <c r="C97" s="199" t="s">
        <v>265</v>
      </c>
      <c r="D97" s="200" t="s">
        <v>201</v>
      </c>
      <c r="E97" s="201">
        <v>0.038</v>
      </c>
      <c r="F97" s="202">
        <f>SUM(G93:G96)</f>
        <v>0</v>
      </c>
      <c r="G97" s="203">
        <f>E97*F97</f>
        <v>0</v>
      </c>
      <c r="H97" s="204"/>
    </row>
    <row r="98" spans="1:8" ht="15">
      <c r="A98" s="579" t="s">
        <v>212</v>
      </c>
      <c r="B98" s="175"/>
      <c r="C98" s="199"/>
      <c r="D98" s="200"/>
      <c r="E98" s="201"/>
      <c r="F98" s="202"/>
      <c r="G98" s="203"/>
      <c r="H98" s="204"/>
    </row>
    <row r="99" spans="1:8" ht="15">
      <c r="A99" s="579" t="s">
        <v>214</v>
      </c>
      <c r="B99" s="175"/>
      <c r="C99" s="199"/>
      <c r="D99" s="200"/>
      <c r="E99" s="201"/>
      <c r="F99" s="202"/>
      <c r="G99" s="203"/>
      <c r="H99" s="204"/>
    </row>
    <row r="100" spans="1:8" ht="15">
      <c r="A100" s="579" t="s">
        <v>216</v>
      </c>
      <c r="B100" s="175"/>
      <c r="C100" s="205" t="s">
        <v>229</v>
      </c>
      <c r="D100" s="208" t="s">
        <v>51</v>
      </c>
      <c r="E100" s="209" t="s">
        <v>124</v>
      </c>
      <c r="F100" s="202"/>
      <c r="G100" s="210">
        <f>SUM(G101:G104)</f>
        <v>0</v>
      </c>
      <c r="H100" s="204"/>
    </row>
    <row r="101" spans="1:8" ht="76.5">
      <c r="A101" s="579" t="s">
        <v>218</v>
      </c>
      <c r="B101" s="175">
        <v>784121001</v>
      </c>
      <c r="C101" s="214" t="s">
        <v>576</v>
      </c>
      <c r="D101" s="200" t="s">
        <v>130</v>
      </c>
      <c r="E101" s="201">
        <f>((6.04+5.9)*2+0.5*2*6+0.95*2)*2.95+6.04*5.9-0.5*0.95-0.5*0.15*4-0.4*0.5</f>
        <v>128.412</v>
      </c>
      <c r="F101" s="202">
        <v>0</v>
      </c>
      <c r="G101" s="203">
        <f>E101*F101</f>
        <v>0</v>
      </c>
      <c r="H101" s="204">
        <f>0.0003*E101</f>
        <v>0.0385236</v>
      </c>
    </row>
    <row r="102" spans="1:8" ht="38.25">
      <c r="A102" s="579" t="s">
        <v>220</v>
      </c>
      <c r="B102" s="175">
        <v>784111001</v>
      </c>
      <c r="C102" s="214" t="s">
        <v>266</v>
      </c>
      <c r="D102" s="200" t="s">
        <v>130</v>
      </c>
      <c r="E102" s="201">
        <f>E101</f>
        <v>128.412</v>
      </c>
      <c r="F102" s="202">
        <v>0</v>
      </c>
      <c r="G102" s="203">
        <f>E102*F102</f>
        <v>0</v>
      </c>
      <c r="H102" s="204">
        <v>0</v>
      </c>
    </row>
    <row r="103" spans="1:8" ht="38.25">
      <c r="A103" s="579" t="s">
        <v>222</v>
      </c>
      <c r="B103" s="175">
        <v>784181101</v>
      </c>
      <c r="C103" s="211" t="s">
        <v>267</v>
      </c>
      <c r="D103" s="200" t="s">
        <v>130</v>
      </c>
      <c r="E103" s="201">
        <f>E102</f>
        <v>128.412</v>
      </c>
      <c r="F103" s="202">
        <v>0</v>
      </c>
      <c r="G103" s="203">
        <f>E103*F103</f>
        <v>0</v>
      </c>
      <c r="H103" s="204"/>
    </row>
    <row r="104" spans="1:8" ht="63.75">
      <c r="A104" s="579" t="s">
        <v>224</v>
      </c>
      <c r="B104" s="175">
        <v>784221101</v>
      </c>
      <c r="C104" s="214" t="s">
        <v>577</v>
      </c>
      <c r="D104" s="200" t="s">
        <v>130</v>
      </c>
      <c r="E104" s="201">
        <f>E101</f>
        <v>128.412</v>
      </c>
      <c r="F104" s="216">
        <v>0</v>
      </c>
      <c r="G104" s="203">
        <f>E104*F104</f>
        <v>0</v>
      </c>
      <c r="H104" s="204"/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M14" sqref="M14"/>
    </sheetView>
  </sheetViews>
  <sheetFormatPr defaultColWidth="9.140625" defaultRowHeight="15"/>
  <cols>
    <col min="1" max="1" width="24.140625" style="0" customWidth="1"/>
    <col min="2" max="2" width="64.7109375" style="0" customWidth="1"/>
    <col min="3" max="3" width="12.00390625" style="0" customWidth="1"/>
    <col min="4" max="4" width="14.00390625" style="0" customWidth="1"/>
    <col min="5" max="5" width="12.421875" style="0" customWidth="1"/>
    <col min="6" max="6" width="13.00390625" style="0" customWidth="1"/>
    <col min="7" max="8" width="12.42187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484" t="s">
        <v>315</v>
      </c>
      <c r="B2" s="485"/>
      <c r="C2" s="485"/>
      <c r="D2" s="485"/>
      <c r="E2" s="485"/>
      <c r="F2" s="485"/>
      <c r="G2" s="486"/>
      <c r="H2" s="486"/>
    </row>
    <row r="3" spans="1:8" ht="16.5">
      <c r="A3" s="487" t="s">
        <v>316</v>
      </c>
      <c r="B3" s="488" t="s">
        <v>317</v>
      </c>
      <c r="C3" s="487" t="s">
        <v>127</v>
      </c>
      <c r="D3" s="487">
        <v>8</v>
      </c>
      <c r="E3" s="314">
        <v>0</v>
      </c>
      <c r="F3" s="489">
        <f aca="true" t="shared" si="0" ref="F3:F8">D3*E3</f>
        <v>0</v>
      </c>
      <c r="G3" s="314">
        <v>0</v>
      </c>
      <c r="H3" s="489">
        <f aca="true" t="shared" si="1" ref="H3:H8">D3*G3</f>
        <v>0</v>
      </c>
    </row>
    <row r="4" spans="1:8" ht="16.5">
      <c r="A4" s="487" t="s">
        <v>318</v>
      </c>
      <c r="B4" s="488" t="s">
        <v>319</v>
      </c>
      <c r="C4" s="487" t="s">
        <v>127</v>
      </c>
      <c r="D4" s="487">
        <v>7</v>
      </c>
      <c r="E4" s="314">
        <v>0</v>
      </c>
      <c r="F4" s="489">
        <f t="shared" si="0"/>
        <v>0</v>
      </c>
      <c r="G4" s="314">
        <v>0</v>
      </c>
      <c r="H4" s="489">
        <f t="shared" si="1"/>
        <v>0</v>
      </c>
    </row>
    <row r="5" spans="1:8" ht="16.5">
      <c r="A5" s="487" t="s">
        <v>320</v>
      </c>
      <c r="B5" s="488" t="s">
        <v>321</v>
      </c>
      <c r="C5" s="487" t="s">
        <v>127</v>
      </c>
      <c r="D5" s="487">
        <v>1</v>
      </c>
      <c r="E5" s="314">
        <v>0</v>
      </c>
      <c r="F5" s="489">
        <f t="shared" si="0"/>
        <v>0</v>
      </c>
      <c r="G5" s="314">
        <v>0</v>
      </c>
      <c r="H5" s="489">
        <f t="shared" si="1"/>
        <v>0</v>
      </c>
    </row>
    <row r="6" spans="1:8" ht="16.5">
      <c r="A6" s="487" t="s">
        <v>322</v>
      </c>
      <c r="B6" s="488" t="s">
        <v>323</v>
      </c>
      <c r="C6" s="487" t="s">
        <v>180</v>
      </c>
      <c r="D6" s="487">
        <v>1</v>
      </c>
      <c r="E6" s="314">
        <v>0</v>
      </c>
      <c r="F6" s="489">
        <f t="shared" si="0"/>
        <v>0</v>
      </c>
      <c r="G6" s="314"/>
      <c r="H6" s="489">
        <f t="shared" si="1"/>
        <v>0</v>
      </c>
    </row>
    <row r="7" spans="1:8" ht="16.5">
      <c r="A7" s="487" t="s">
        <v>324</v>
      </c>
      <c r="B7" s="488" t="s">
        <v>325</v>
      </c>
      <c r="C7" s="487" t="s">
        <v>180</v>
      </c>
      <c r="D7" s="487">
        <v>1</v>
      </c>
      <c r="E7" s="314"/>
      <c r="F7" s="489">
        <f t="shared" si="0"/>
        <v>0</v>
      </c>
      <c r="G7" s="314">
        <v>0</v>
      </c>
      <c r="H7" s="489">
        <f t="shared" si="1"/>
        <v>0</v>
      </c>
    </row>
    <row r="8" spans="1:8" ht="16.5">
      <c r="A8" s="487" t="s">
        <v>326</v>
      </c>
      <c r="B8" s="488" t="s">
        <v>327</v>
      </c>
      <c r="C8" s="487" t="s">
        <v>180</v>
      </c>
      <c r="D8" s="487">
        <v>1</v>
      </c>
      <c r="E8" s="314"/>
      <c r="F8" s="489">
        <f t="shared" si="0"/>
        <v>0</v>
      </c>
      <c r="G8" s="314">
        <v>0</v>
      </c>
      <c r="H8" s="489">
        <f t="shared" si="1"/>
        <v>0</v>
      </c>
    </row>
    <row r="9" spans="1:8" ht="16.5">
      <c r="A9" s="487"/>
      <c r="B9" s="490" t="s">
        <v>328</v>
      </c>
      <c r="C9" s="491"/>
      <c r="D9" s="491"/>
      <c r="E9" s="495"/>
      <c r="F9" s="492">
        <f>SUM(F3:F8)</f>
        <v>0</v>
      </c>
      <c r="G9" s="492"/>
      <c r="H9" s="492">
        <f>SUM(H3:H8)</f>
        <v>0</v>
      </c>
    </row>
    <row r="10" spans="1:8" ht="15.75">
      <c r="A10" s="484" t="s">
        <v>329</v>
      </c>
      <c r="B10" s="485"/>
      <c r="C10" s="485"/>
      <c r="D10" s="485"/>
      <c r="E10" s="485"/>
      <c r="F10" s="485"/>
      <c r="G10" s="486"/>
      <c r="H10" s="486"/>
    </row>
    <row r="11" spans="1:8" ht="16.5">
      <c r="A11" s="487" t="s">
        <v>330</v>
      </c>
      <c r="B11" s="488" t="s">
        <v>331</v>
      </c>
      <c r="C11" s="487" t="s">
        <v>127</v>
      </c>
      <c r="D11" s="487">
        <v>3</v>
      </c>
      <c r="E11" s="314">
        <v>0</v>
      </c>
      <c r="F11" s="489">
        <f>D11*E11</f>
        <v>0</v>
      </c>
      <c r="G11" s="314">
        <v>0</v>
      </c>
      <c r="H11" s="489">
        <f>D11*G11</f>
        <v>0</v>
      </c>
    </row>
    <row r="12" spans="1:8" ht="16.5">
      <c r="A12" s="487" t="s">
        <v>332</v>
      </c>
      <c r="B12" s="488" t="s">
        <v>325</v>
      </c>
      <c r="C12" s="493" t="s">
        <v>180</v>
      </c>
      <c r="D12" s="487">
        <v>1</v>
      </c>
      <c r="E12" s="314"/>
      <c r="F12" s="489">
        <f>D12*E12</f>
        <v>0</v>
      </c>
      <c r="G12" s="314">
        <v>0</v>
      </c>
      <c r="H12" s="489">
        <f>D12*G12</f>
        <v>0</v>
      </c>
    </row>
    <row r="13" spans="1:8" ht="16.5">
      <c r="A13" s="487" t="s">
        <v>333</v>
      </c>
      <c r="B13" s="488" t="s">
        <v>334</v>
      </c>
      <c r="C13" s="493" t="s">
        <v>180</v>
      </c>
      <c r="D13" s="487">
        <v>1</v>
      </c>
      <c r="E13" s="314">
        <v>0</v>
      </c>
      <c r="F13" s="489">
        <f>D13*E13</f>
        <v>0</v>
      </c>
      <c r="G13" s="314">
        <v>0</v>
      </c>
      <c r="H13" s="489">
        <f>D13*G13</f>
        <v>0</v>
      </c>
    </row>
    <row r="14" spans="1:8" ht="15.75">
      <c r="A14" s="494"/>
      <c r="B14" s="490" t="s">
        <v>335</v>
      </c>
      <c r="C14" s="491"/>
      <c r="D14" s="491"/>
      <c r="E14" s="495"/>
      <c r="F14" s="492">
        <f>SUM(F11:F13)</f>
        <v>0</v>
      </c>
      <c r="G14" s="492"/>
      <c r="H14" s="492">
        <f>SUM(H11:H13)</f>
        <v>0</v>
      </c>
    </row>
    <row r="15" spans="1:8" ht="15.75">
      <c r="A15" s="484" t="s">
        <v>336</v>
      </c>
      <c r="B15" s="485"/>
      <c r="C15" s="485"/>
      <c r="D15" s="485"/>
      <c r="E15" s="485"/>
      <c r="F15" s="485"/>
      <c r="G15" s="486"/>
      <c r="H15" s="486"/>
    </row>
    <row r="16" spans="1:8" ht="16.5">
      <c r="A16" s="487" t="s">
        <v>337</v>
      </c>
      <c r="B16" s="488" t="s">
        <v>338</v>
      </c>
      <c r="C16" s="487" t="s">
        <v>339</v>
      </c>
      <c r="D16" s="487">
        <v>60</v>
      </c>
      <c r="E16" s="314">
        <v>0</v>
      </c>
      <c r="F16" s="489">
        <f aca="true" t="shared" si="2" ref="F16:F23">D16*E16</f>
        <v>0</v>
      </c>
      <c r="G16" s="314">
        <v>0</v>
      </c>
      <c r="H16" s="489">
        <f aca="true" t="shared" si="3" ref="H16:H23">D16*G16</f>
        <v>0</v>
      </c>
    </row>
    <row r="17" spans="1:8" ht="16.5">
      <c r="A17" s="487" t="s">
        <v>340</v>
      </c>
      <c r="B17" s="488" t="s">
        <v>341</v>
      </c>
      <c r="C17" s="487" t="s">
        <v>339</v>
      </c>
      <c r="D17" s="487">
        <v>10</v>
      </c>
      <c r="E17" s="314">
        <v>0</v>
      </c>
      <c r="F17" s="489">
        <f t="shared" si="2"/>
        <v>0</v>
      </c>
      <c r="G17" s="314">
        <v>0</v>
      </c>
      <c r="H17" s="489">
        <f t="shared" si="3"/>
        <v>0</v>
      </c>
    </row>
    <row r="18" spans="1:8" ht="16.5">
      <c r="A18" s="487" t="s">
        <v>342</v>
      </c>
      <c r="B18" s="488" t="s">
        <v>343</v>
      </c>
      <c r="C18" s="487" t="s">
        <v>339</v>
      </c>
      <c r="D18" s="487">
        <v>20</v>
      </c>
      <c r="E18" s="314">
        <v>0</v>
      </c>
      <c r="F18" s="489">
        <f t="shared" si="2"/>
        <v>0</v>
      </c>
      <c r="G18" s="314">
        <v>0</v>
      </c>
      <c r="H18" s="489">
        <f t="shared" si="3"/>
        <v>0</v>
      </c>
    </row>
    <row r="19" spans="1:8" ht="16.5">
      <c r="A19" s="487" t="s">
        <v>344</v>
      </c>
      <c r="B19" s="488" t="s">
        <v>345</v>
      </c>
      <c r="C19" s="487" t="s">
        <v>339</v>
      </c>
      <c r="D19" s="487">
        <v>2</v>
      </c>
      <c r="E19" s="314">
        <v>0</v>
      </c>
      <c r="F19" s="489">
        <f t="shared" si="2"/>
        <v>0</v>
      </c>
      <c r="G19" s="314">
        <v>0</v>
      </c>
      <c r="H19" s="489">
        <f t="shared" si="3"/>
        <v>0</v>
      </c>
    </row>
    <row r="20" spans="1:8" ht="16.5">
      <c r="A20" s="487" t="s">
        <v>346</v>
      </c>
      <c r="B20" s="488" t="s">
        <v>347</v>
      </c>
      <c r="C20" s="487" t="s">
        <v>127</v>
      </c>
      <c r="D20" s="487">
        <v>3</v>
      </c>
      <c r="E20" s="314">
        <v>0</v>
      </c>
      <c r="F20" s="489">
        <f t="shared" si="2"/>
        <v>0</v>
      </c>
      <c r="G20" s="314">
        <v>0</v>
      </c>
      <c r="H20" s="489">
        <f t="shared" si="3"/>
        <v>0</v>
      </c>
    </row>
    <row r="21" spans="1:8" ht="16.5">
      <c r="A21" s="487" t="s">
        <v>348</v>
      </c>
      <c r="B21" s="488" t="s">
        <v>349</v>
      </c>
      <c r="C21" s="493" t="s">
        <v>180</v>
      </c>
      <c r="D21" s="487">
        <v>1</v>
      </c>
      <c r="E21" s="314">
        <v>0</v>
      </c>
      <c r="F21" s="489">
        <f t="shared" si="2"/>
        <v>0</v>
      </c>
      <c r="G21" s="314"/>
      <c r="H21" s="489">
        <f t="shared" si="3"/>
        <v>0</v>
      </c>
    </row>
    <row r="22" spans="1:8" ht="16.5">
      <c r="A22" s="487" t="s">
        <v>350</v>
      </c>
      <c r="B22" s="488" t="s">
        <v>351</v>
      </c>
      <c r="C22" s="493" t="s">
        <v>180</v>
      </c>
      <c r="D22" s="487">
        <v>1</v>
      </c>
      <c r="E22" s="314"/>
      <c r="F22" s="489">
        <f t="shared" si="2"/>
        <v>0</v>
      </c>
      <c r="G22" s="314">
        <v>0</v>
      </c>
      <c r="H22" s="489">
        <f t="shared" si="3"/>
        <v>0</v>
      </c>
    </row>
    <row r="23" spans="1:8" ht="16.5">
      <c r="A23" s="487" t="s">
        <v>352</v>
      </c>
      <c r="B23" s="488" t="s">
        <v>325</v>
      </c>
      <c r="C23" s="493" t="s">
        <v>180</v>
      </c>
      <c r="D23" s="487">
        <v>1</v>
      </c>
      <c r="E23" s="314"/>
      <c r="F23" s="489">
        <f t="shared" si="2"/>
        <v>0</v>
      </c>
      <c r="G23" s="314">
        <v>0</v>
      </c>
      <c r="H23" s="489">
        <f t="shared" si="3"/>
        <v>0</v>
      </c>
    </row>
    <row r="24" spans="1:8" ht="16.5">
      <c r="A24" s="494"/>
      <c r="B24" s="490" t="s">
        <v>353</v>
      </c>
      <c r="C24" s="491"/>
      <c r="D24" s="491"/>
      <c r="E24" s="495"/>
      <c r="F24" s="492">
        <f>SUM(F16:F23)</f>
        <v>0</v>
      </c>
      <c r="G24" s="489"/>
      <c r="H24" s="492">
        <f>SUM(H16:H23)</f>
        <v>0</v>
      </c>
    </row>
    <row r="25" spans="1:8" ht="15.75">
      <c r="A25" s="484" t="s">
        <v>354</v>
      </c>
      <c r="B25" s="485"/>
      <c r="C25" s="485"/>
      <c r="D25" s="485"/>
      <c r="E25" s="485"/>
      <c r="F25" s="485"/>
      <c r="G25" s="496"/>
      <c r="H25" s="496"/>
    </row>
    <row r="26" spans="1:8" ht="16.5">
      <c r="A26" s="487" t="s">
        <v>355</v>
      </c>
      <c r="B26" s="488" t="s">
        <v>356</v>
      </c>
      <c r="C26" s="487" t="s">
        <v>127</v>
      </c>
      <c r="D26" s="487">
        <v>1</v>
      </c>
      <c r="E26" s="325">
        <v>0</v>
      </c>
      <c r="F26" s="489">
        <f>D26*E26</f>
        <v>0</v>
      </c>
      <c r="G26" s="325"/>
      <c r="H26" s="489">
        <f>D26*G26</f>
        <v>0</v>
      </c>
    </row>
    <row r="27" spans="1:8" ht="15.75">
      <c r="A27" s="497"/>
      <c r="B27" s="498" t="s">
        <v>357</v>
      </c>
      <c r="C27" s="499"/>
      <c r="D27" s="499"/>
      <c r="E27" s="500"/>
      <c r="F27" s="501">
        <f>+F24+F14+F9+F26</f>
        <v>0</v>
      </c>
      <c r="G27" s="497"/>
      <c r="H27" s="501">
        <f>+H24+H14+H9+H26</f>
        <v>0</v>
      </c>
    </row>
    <row r="28" spans="1:8" ht="16.5">
      <c r="A28" s="502"/>
      <c r="B28" s="502"/>
      <c r="C28" s="502"/>
      <c r="D28" s="502"/>
      <c r="E28" s="502"/>
      <c r="F28" s="503" t="s">
        <v>358</v>
      </c>
      <c r="G28" s="504"/>
      <c r="H28" s="505" t="s">
        <v>359</v>
      </c>
    </row>
    <row r="29" spans="1:8" ht="21">
      <c r="A29" s="506" t="s">
        <v>357</v>
      </c>
      <c r="B29" s="506"/>
      <c r="C29" s="507">
        <f>SUM(F27,H27)</f>
        <v>0</v>
      </c>
      <c r="D29" s="507"/>
      <c r="E29" s="507"/>
      <c r="F29" s="502"/>
      <c r="G29" s="504"/>
      <c r="H29" s="509"/>
    </row>
  </sheetData>
  <mergeCells count="6">
    <mergeCell ref="A2:H2"/>
    <mergeCell ref="A10:H10"/>
    <mergeCell ref="A15:H15"/>
    <mergeCell ref="A25:H25"/>
    <mergeCell ref="A29:B29"/>
    <mergeCell ref="C29:E2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"/>
  <sheetViews>
    <sheetView workbookViewId="0" topLeftCell="A1">
      <selection activeCell="B5" sqref="B5"/>
    </sheetView>
  </sheetViews>
  <sheetFormatPr defaultColWidth="9.140625" defaultRowHeight="15"/>
  <cols>
    <col min="2" max="2" width="73.57421875" style="0" customWidth="1"/>
  </cols>
  <sheetData>
    <row r="1" ht="15">
      <c r="B1" s="6"/>
    </row>
    <row r="2" ht="33.75" customHeight="1">
      <c r="B2" s="42" t="s">
        <v>31</v>
      </c>
    </row>
    <row r="3" ht="15">
      <c r="B3" s="6"/>
    </row>
    <row r="4" ht="15">
      <c r="B4" s="7" t="s">
        <v>32</v>
      </c>
    </row>
    <row r="5" ht="15">
      <c r="B5" s="8" t="s">
        <v>45</v>
      </c>
    </row>
    <row r="6" ht="15">
      <c r="B6" s="9"/>
    </row>
    <row r="7" ht="15.75">
      <c r="B7" s="10"/>
    </row>
    <row r="8" ht="15">
      <c r="B8" s="7" t="s">
        <v>33</v>
      </c>
    </row>
    <row r="9" ht="24.75">
      <c r="B9" s="11" t="s">
        <v>34</v>
      </c>
    </row>
    <row r="10" ht="15">
      <c r="B10" s="12"/>
    </row>
    <row r="11" ht="15">
      <c r="B11" s="13"/>
    </row>
    <row r="12" ht="15">
      <c r="B12" s="6"/>
    </row>
    <row r="13" ht="15">
      <c r="B13" s="7" t="s">
        <v>35</v>
      </c>
    </row>
    <row r="14" ht="24">
      <c r="B14" s="14" t="s">
        <v>34</v>
      </c>
    </row>
    <row r="15" ht="15">
      <c r="B15" s="11"/>
    </row>
    <row r="16" ht="15">
      <c r="B16" s="12"/>
    </row>
    <row r="17" ht="15">
      <c r="B17" s="15"/>
    </row>
    <row r="18" ht="15">
      <c r="B18" s="16" t="s">
        <v>36</v>
      </c>
    </row>
    <row r="19" ht="15">
      <c r="B19" s="17" t="s">
        <v>37</v>
      </c>
    </row>
    <row r="20" ht="15">
      <c r="B20" s="17"/>
    </row>
    <row r="21" ht="15.75">
      <c r="B21" s="18"/>
    </row>
    <row r="22" ht="15">
      <c r="B22" s="17"/>
    </row>
    <row r="23" ht="15">
      <c r="B23" s="17"/>
    </row>
    <row r="24" ht="15">
      <c r="B24" s="17"/>
    </row>
    <row r="25" ht="15">
      <c r="B25" s="17"/>
    </row>
    <row r="26" ht="15">
      <c r="B26" s="17" t="s">
        <v>38</v>
      </c>
    </row>
    <row r="27" ht="15">
      <c r="B27" s="15" t="s">
        <v>39</v>
      </c>
    </row>
    <row r="28" ht="15">
      <c r="B28" s="15"/>
    </row>
    <row r="29" ht="15">
      <c r="B29" s="15"/>
    </row>
    <row r="30" ht="15">
      <c r="B30" s="19" t="s">
        <v>40</v>
      </c>
    </row>
    <row r="31" ht="15">
      <c r="B31" s="20" t="s">
        <v>41</v>
      </c>
    </row>
    <row r="32" ht="15">
      <c r="B32" s="7" t="s">
        <v>42</v>
      </c>
    </row>
    <row r="33" ht="15">
      <c r="B33" s="17" t="s">
        <v>43</v>
      </c>
    </row>
    <row r="34" ht="15">
      <c r="B34" s="7" t="s">
        <v>44</v>
      </c>
    </row>
  </sheetData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D40" sqref="D40"/>
    </sheetView>
  </sheetViews>
  <sheetFormatPr defaultColWidth="9.140625" defaultRowHeight="15"/>
  <cols>
    <col min="2" max="2" width="9.140625" style="0" customWidth="1"/>
    <col min="3" max="3" width="81.8515625" style="0" customWidth="1"/>
    <col min="4" max="4" width="14.00390625" style="0" customWidth="1"/>
    <col min="5" max="5" width="12.57421875" style="0" customWidth="1"/>
    <col min="6" max="6" width="13.28125" style="0" customWidth="1"/>
    <col min="7" max="7" width="13.003906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491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SUM(G12:G29)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15.7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492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1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1</v>
      </c>
      <c r="F13" s="402">
        <v>0</v>
      </c>
      <c r="G13" s="403">
        <f>F13*E13</f>
        <v>0</v>
      </c>
    </row>
    <row r="14" spans="1:7" ht="16.5">
      <c r="A14" s="359">
        <v>3</v>
      </c>
      <c r="B14" s="395"/>
      <c r="C14" s="404" t="s">
        <v>372</v>
      </c>
      <c r="D14" s="401" t="s">
        <v>127</v>
      </c>
      <c r="E14" s="359">
        <v>6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1660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510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340</v>
      </c>
      <c r="F19" s="408">
        <v>0</v>
      </c>
      <c r="G19" s="403">
        <f>F19*E19</f>
        <v>0</v>
      </c>
    </row>
    <row r="20" spans="1:7" ht="16.5">
      <c r="A20" s="406"/>
      <c r="B20" s="406"/>
      <c r="C20" s="407"/>
      <c r="D20" s="401"/>
      <c r="E20" s="406"/>
      <c r="F20" s="408"/>
      <c r="G20" s="403"/>
    </row>
    <row r="21" spans="1:7" ht="17.25" thickBot="1">
      <c r="A21" s="395"/>
      <c r="B21" s="409"/>
      <c r="C21" s="407"/>
      <c r="D21" s="401"/>
      <c r="E21" s="401"/>
      <c r="F21" s="408"/>
      <c r="G21" s="403"/>
    </row>
    <row r="22" spans="1:7" ht="17.25" thickBot="1">
      <c r="A22" s="359"/>
      <c r="B22" s="395"/>
      <c r="C22" s="396" t="s">
        <v>377</v>
      </c>
      <c r="D22" s="397"/>
      <c r="E22" s="359"/>
      <c r="F22" s="408"/>
      <c r="G22" s="403"/>
    </row>
    <row r="23" spans="1:7" ht="16.5">
      <c r="A23" s="395">
        <v>7</v>
      </c>
      <c r="B23" s="409"/>
      <c r="C23" s="407" t="s">
        <v>378</v>
      </c>
      <c r="D23" s="401" t="s">
        <v>180</v>
      </c>
      <c r="E23" s="401">
        <v>1</v>
      </c>
      <c r="F23" s="408">
        <v>0</v>
      </c>
      <c r="G23" s="403">
        <f aca="true" t="shared" si="0" ref="G23:G28">F23*E23</f>
        <v>0</v>
      </c>
    </row>
    <row r="24" spans="1:7" ht="16.5">
      <c r="A24" s="395">
        <v>8</v>
      </c>
      <c r="B24" s="409"/>
      <c r="C24" s="407" t="s">
        <v>379</v>
      </c>
      <c r="D24" s="401" t="s">
        <v>180</v>
      </c>
      <c r="E24" s="401">
        <v>1</v>
      </c>
      <c r="F24" s="408">
        <v>0</v>
      </c>
      <c r="G24" s="403">
        <f t="shared" si="0"/>
        <v>0</v>
      </c>
    </row>
    <row r="25" spans="1:7" ht="16.5">
      <c r="A25" s="395">
        <v>9</v>
      </c>
      <c r="B25" s="409"/>
      <c r="C25" s="407" t="s">
        <v>380</v>
      </c>
      <c r="D25" s="401" t="s">
        <v>381</v>
      </c>
      <c r="E25" s="401">
        <v>35</v>
      </c>
      <c r="F25" s="408">
        <v>0</v>
      </c>
      <c r="G25" s="403">
        <f t="shared" si="0"/>
        <v>0</v>
      </c>
    </row>
    <row r="26" spans="1:7" ht="16.5">
      <c r="A26" s="395">
        <v>10</v>
      </c>
      <c r="B26" s="409"/>
      <c r="C26" s="407" t="s">
        <v>382</v>
      </c>
      <c r="D26" s="401" t="s">
        <v>127</v>
      </c>
      <c r="E26" s="401">
        <f>E14*6</f>
        <v>36</v>
      </c>
      <c r="F26" s="408">
        <v>0</v>
      </c>
      <c r="G26" s="403">
        <f t="shared" si="0"/>
        <v>0</v>
      </c>
    </row>
    <row r="27" spans="1:7" ht="16.5">
      <c r="A27" s="395">
        <v>11</v>
      </c>
      <c r="B27" s="409"/>
      <c r="C27" s="407" t="s">
        <v>383</v>
      </c>
      <c r="D27" s="401" t="s">
        <v>127</v>
      </c>
      <c r="E27" s="401">
        <f>E26</f>
        <v>36</v>
      </c>
      <c r="F27" s="408">
        <v>0</v>
      </c>
      <c r="G27" s="403">
        <f t="shared" si="0"/>
        <v>0</v>
      </c>
    </row>
    <row r="28" spans="1:7" ht="16.5">
      <c r="A28" s="395">
        <v>12</v>
      </c>
      <c r="B28" s="409"/>
      <c r="C28" s="407" t="s">
        <v>384</v>
      </c>
      <c r="D28" s="401" t="s">
        <v>180</v>
      </c>
      <c r="E28" s="401">
        <v>1</v>
      </c>
      <c r="F28" s="408">
        <v>0</v>
      </c>
      <c r="G28" s="403">
        <f t="shared" si="0"/>
        <v>0</v>
      </c>
    </row>
    <row r="29" spans="1:7" ht="16.5">
      <c r="A29" s="395"/>
      <c r="B29" s="409"/>
      <c r="C29" s="407"/>
      <c r="D29" s="401"/>
      <c r="E29" s="401"/>
      <c r="F29" s="408"/>
      <c r="G29" s="403"/>
    </row>
  </sheetData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 topLeftCell="A1">
      <selection activeCell="P21" sqref="P21"/>
    </sheetView>
  </sheetViews>
  <sheetFormatPr defaultColWidth="9.140625" defaultRowHeight="15"/>
  <cols>
    <col min="1" max="1" width="4.00390625" style="0" customWidth="1"/>
    <col min="2" max="2" width="49.7109375" style="0" customWidth="1"/>
  </cols>
  <sheetData>
    <row r="1" spans="1:11" ht="15">
      <c r="A1" s="410"/>
      <c r="B1" s="410"/>
      <c r="C1" s="410"/>
      <c r="D1" s="410"/>
      <c r="E1" s="410"/>
      <c r="F1" s="411"/>
      <c r="G1" s="411"/>
      <c r="H1" s="410"/>
      <c r="I1" s="410"/>
      <c r="J1" s="410"/>
      <c r="K1" s="410"/>
    </row>
    <row r="2" spans="1:11" ht="15.75">
      <c r="A2" s="510"/>
      <c r="B2" s="412" t="s">
        <v>385</v>
      </c>
      <c r="C2" s="413"/>
      <c r="D2" s="413"/>
      <c r="E2" s="414"/>
      <c r="F2" s="415"/>
      <c r="G2" s="415"/>
      <c r="H2" s="416"/>
      <c r="I2" s="416"/>
      <c r="J2" s="416"/>
      <c r="K2" s="417">
        <f>SUM(K14)</f>
        <v>0</v>
      </c>
    </row>
    <row r="3" spans="1:11" ht="15.75">
      <c r="A3" s="511"/>
      <c r="B3" s="412" t="s">
        <v>386</v>
      </c>
      <c r="C3" s="413"/>
      <c r="D3" s="413"/>
      <c r="E3" s="414"/>
      <c r="F3" s="415"/>
      <c r="G3" s="415"/>
      <c r="H3" s="416"/>
      <c r="I3" s="416"/>
      <c r="J3" s="416"/>
      <c r="K3" s="417">
        <f>SUM(K32)</f>
        <v>0</v>
      </c>
    </row>
    <row r="4" spans="1:11" ht="15.75">
      <c r="A4" s="511"/>
      <c r="B4" s="412" t="s">
        <v>387</v>
      </c>
      <c r="C4" s="413"/>
      <c r="D4" s="413"/>
      <c r="E4" s="414"/>
      <c r="F4" s="415"/>
      <c r="G4" s="415"/>
      <c r="H4" s="416"/>
      <c r="I4" s="416"/>
      <c r="J4" s="416"/>
      <c r="K4" s="417">
        <f>SUM(K46)</f>
        <v>0</v>
      </c>
    </row>
    <row r="5" spans="1:11" ht="15.75">
      <c r="A5" s="511"/>
      <c r="B5" s="412" t="s">
        <v>388</v>
      </c>
      <c r="C5" s="413"/>
      <c r="D5" s="413"/>
      <c r="E5" s="414"/>
      <c r="F5" s="415"/>
      <c r="G5" s="415"/>
      <c r="H5" s="416"/>
      <c r="I5" s="416"/>
      <c r="J5" s="416"/>
      <c r="K5" s="417">
        <f>SUM(K64)</f>
        <v>0</v>
      </c>
    </row>
    <row r="6" spans="1:11" ht="15.75">
      <c r="A6" s="511"/>
      <c r="B6" s="418" t="s">
        <v>389</v>
      </c>
      <c r="C6" s="419"/>
      <c r="D6" s="419"/>
      <c r="E6" s="420"/>
      <c r="F6" s="421"/>
      <c r="G6" s="421"/>
      <c r="H6" s="422"/>
      <c r="I6" s="422"/>
      <c r="J6" s="422"/>
      <c r="K6" s="417">
        <f>SUM(K73)</f>
        <v>0</v>
      </c>
    </row>
    <row r="7" spans="1:11" ht="15.75">
      <c r="A7" s="511"/>
      <c r="B7" s="412" t="s">
        <v>390</v>
      </c>
      <c r="C7" s="419"/>
      <c r="D7" s="419"/>
      <c r="E7" s="420"/>
      <c r="F7" s="421"/>
      <c r="G7" s="421"/>
      <c r="H7" s="422"/>
      <c r="I7" s="422"/>
      <c r="J7" s="422"/>
      <c r="K7" s="417">
        <f>SUM(K2:K6)</f>
        <v>0</v>
      </c>
    </row>
    <row r="8" spans="1:11" ht="15.75">
      <c r="A8" s="511"/>
      <c r="B8" s="412"/>
      <c r="C8" s="419"/>
      <c r="D8" s="419"/>
      <c r="E8" s="420"/>
      <c r="F8" s="421"/>
      <c r="G8" s="421"/>
      <c r="H8" s="422"/>
      <c r="I8" s="422"/>
      <c r="J8" s="422"/>
      <c r="K8" s="417"/>
    </row>
    <row r="9" spans="1:11" ht="15.75">
      <c r="A9" s="511"/>
      <c r="B9" s="412" t="s">
        <v>391</v>
      </c>
      <c r="C9" s="419"/>
      <c r="D9" s="419"/>
      <c r="E9" s="420"/>
      <c r="F9" s="421"/>
      <c r="G9" s="421"/>
      <c r="H9" s="422"/>
      <c r="I9" s="422"/>
      <c r="J9" s="422"/>
      <c r="K9" s="417">
        <f>SUM(K7)</f>
        <v>0</v>
      </c>
    </row>
    <row r="10" spans="1:11" ht="15">
      <c r="A10" s="410"/>
      <c r="B10" s="410"/>
      <c r="C10" s="410"/>
      <c r="D10" s="410"/>
      <c r="E10" s="410"/>
      <c r="F10" s="411"/>
      <c r="G10" s="411"/>
      <c r="H10" s="410"/>
      <c r="I10" s="410"/>
      <c r="J10" s="410"/>
      <c r="K10" s="410"/>
    </row>
    <row r="11" spans="1:11" ht="15.75" thickBot="1">
      <c r="A11" s="410"/>
      <c r="B11" s="410"/>
      <c r="C11" s="410"/>
      <c r="D11" s="410"/>
      <c r="E11" s="410"/>
      <c r="F11" s="411"/>
      <c r="G11" s="411"/>
      <c r="H11" s="410"/>
      <c r="I11" s="410"/>
      <c r="J11" s="410"/>
      <c r="K11" s="410"/>
    </row>
    <row r="12" spans="1:11" ht="15.75" thickBot="1">
      <c r="A12" s="470"/>
      <c r="B12" s="423"/>
      <c r="C12" s="424"/>
      <c r="D12" s="424"/>
      <c r="E12" s="425"/>
      <c r="F12" s="426" t="s">
        <v>392</v>
      </c>
      <c r="G12" s="427" t="s">
        <v>392</v>
      </c>
      <c r="H12" s="428" t="s">
        <v>392</v>
      </c>
      <c r="I12" s="429" t="s">
        <v>393</v>
      </c>
      <c r="J12" s="430" t="s">
        <v>393</v>
      </c>
      <c r="K12" s="428" t="s">
        <v>393</v>
      </c>
    </row>
    <row r="13" spans="1:11" ht="24.75" thickBot="1">
      <c r="A13" s="471"/>
      <c r="B13" s="431" t="s">
        <v>394</v>
      </c>
      <c r="C13" s="432" t="s">
        <v>395</v>
      </c>
      <c r="D13" s="432" t="s">
        <v>396</v>
      </c>
      <c r="E13" s="433" t="s">
        <v>397</v>
      </c>
      <c r="F13" s="434" t="s">
        <v>398</v>
      </c>
      <c r="G13" s="435" t="s">
        <v>399</v>
      </c>
      <c r="H13" s="436" t="s">
        <v>400</v>
      </c>
      <c r="I13" s="437" t="s">
        <v>401</v>
      </c>
      <c r="J13" s="438" t="s">
        <v>402</v>
      </c>
      <c r="K13" s="436" t="s">
        <v>403</v>
      </c>
    </row>
    <row r="14" spans="1:11" ht="15">
      <c r="A14" s="472"/>
      <c r="B14" s="439" t="s">
        <v>385</v>
      </c>
      <c r="C14" s="440"/>
      <c r="D14" s="440"/>
      <c r="E14" s="441"/>
      <c r="F14" s="442"/>
      <c r="G14" s="442"/>
      <c r="H14" s="443"/>
      <c r="I14" s="443"/>
      <c r="J14" s="443"/>
      <c r="K14" s="444">
        <f>SUM(K30)</f>
        <v>0</v>
      </c>
    </row>
    <row r="15" spans="1:11" ht="15">
      <c r="A15" s="472"/>
      <c r="B15" s="445" t="s">
        <v>404</v>
      </c>
      <c r="C15" s="440"/>
      <c r="D15" s="440"/>
      <c r="E15" s="441"/>
      <c r="F15" s="442"/>
      <c r="G15" s="442"/>
      <c r="H15" s="443"/>
      <c r="I15" s="443"/>
      <c r="J15" s="443"/>
      <c r="K15" s="443"/>
    </row>
    <row r="16" spans="1:11" ht="15">
      <c r="A16" s="472"/>
      <c r="B16" s="445" t="s">
        <v>405</v>
      </c>
      <c r="C16" s="440"/>
      <c r="D16" s="440" t="s">
        <v>339</v>
      </c>
      <c r="E16" s="441">
        <v>8</v>
      </c>
      <c r="F16" s="442"/>
      <c r="G16" s="442">
        <v>0</v>
      </c>
      <c r="H16" s="443">
        <f>SUM(F16+G16)</f>
        <v>0</v>
      </c>
      <c r="I16" s="443">
        <f aca="true" t="shared" si="0" ref="I16:I27">SUM(F16*E16)</f>
        <v>0</v>
      </c>
      <c r="J16" s="443">
        <f aca="true" t="shared" si="1" ref="J16:J27">SUM(G16*E16)</f>
        <v>0</v>
      </c>
      <c r="K16" s="443">
        <f aca="true" t="shared" si="2" ref="K16:K27">SUM(I16+J16)</f>
        <v>0</v>
      </c>
    </row>
    <row r="17" spans="1:11" ht="15">
      <c r="A17" s="472"/>
      <c r="B17" s="445" t="s">
        <v>406</v>
      </c>
      <c r="C17" s="440"/>
      <c r="D17" s="440"/>
      <c r="E17" s="441"/>
      <c r="F17" s="442"/>
      <c r="G17" s="442"/>
      <c r="H17" s="443"/>
      <c r="I17" s="443"/>
      <c r="J17" s="443"/>
      <c r="K17" s="443"/>
    </row>
    <row r="18" spans="1:11" ht="15">
      <c r="A18" s="472"/>
      <c r="B18" s="445" t="s">
        <v>407</v>
      </c>
      <c r="C18" s="440"/>
      <c r="D18" s="440" t="s">
        <v>339</v>
      </c>
      <c r="E18" s="441">
        <v>3</v>
      </c>
      <c r="F18" s="442"/>
      <c r="G18" s="442">
        <v>0</v>
      </c>
      <c r="H18" s="443">
        <f>SUM(F18+G18)</f>
        <v>0</v>
      </c>
      <c r="I18" s="443">
        <f>SUM(F18*E18)</f>
        <v>0</v>
      </c>
      <c r="J18" s="443">
        <f>SUM(G18*E18)</f>
        <v>0</v>
      </c>
      <c r="K18" s="443">
        <f>SUM(I18+J18)</f>
        <v>0</v>
      </c>
    </row>
    <row r="19" spans="1:11" ht="15">
      <c r="A19" s="472"/>
      <c r="B19" s="445" t="s">
        <v>408</v>
      </c>
      <c r="C19" s="440"/>
      <c r="D19" s="440" t="s">
        <v>339</v>
      </c>
      <c r="E19" s="441">
        <v>1</v>
      </c>
      <c r="F19" s="442"/>
      <c r="G19" s="442">
        <v>0</v>
      </c>
      <c r="H19" s="443">
        <f>SUM(F19+G19)</f>
        <v>0</v>
      </c>
      <c r="I19" s="443">
        <f>SUM(F19*E19)</f>
        <v>0</v>
      </c>
      <c r="J19" s="443">
        <f>SUM(G19*E19)</f>
        <v>0</v>
      </c>
      <c r="K19" s="443">
        <f>SUM(I19+J19)</f>
        <v>0</v>
      </c>
    </row>
    <row r="20" spans="1:11" ht="15">
      <c r="A20" s="472"/>
      <c r="B20" s="445" t="s">
        <v>409</v>
      </c>
      <c r="C20" s="440"/>
      <c r="D20" s="440" t="s">
        <v>339</v>
      </c>
      <c r="E20" s="441">
        <v>1</v>
      </c>
      <c r="F20" s="442"/>
      <c r="G20" s="442">
        <v>0</v>
      </c>
      <c r="H20" s="443">
        <f>SUM(F20+G20)</f>
        <v>0</v>
      </c>
      <c r="I20" s="443">
        <f>SUM(F20*E20)</f>
        <v>0</v>
      </c>
      <c r="J20" s="443">
        <f>SUM(G20*E20)</f>
        <v>0</v>
      </c>
      <c r="K20" s="443">
        <f>SUM(I20+J20)</f>
        <v>0</v>
      </c>
    </row>
    <row r="21" spans="1:11" ht="15">
      <c r="A21" s="472"/>
      <c r="B21" s="445" t="s">
        <v>410</v>
      </c>
      <c r="C21" s="440"/>
      <c r="D21" s="440" t="s">
        <v>339</v>
      </c>
      <c r="E21" s="441">
        <f>SUM(E16:E16)</f>
        <v>8</v>
      </c>
      <c r="F21" s="442"/>
      <c r="G21" s="442">
        <v>0</v>
      </c>
      <c r="H21" s="443">
        <f>SUM(F21+G21)</f>
        <v>0</v>
      </c>
      <c r="I21" s="443">
        <f t="shared" si="0"/>
        <v>0</v>
      </c>
      <c r="J21" s="443">
        <f t="shared" si="1"/>
        <v>0</v>
      </c>
      <c r="K21" s="443">
        <f t="shared" si="2"/>
        <v>0</v>
      </c>
    </row>
    <row r="22" spans="1:11" ht="24">
      <c r="A22" s="472"/>
      <c r="B22" s="445" t="s">
        <v>411</v>
      </c>
      <c r="C22" s="440"/>
      <c r="D22" s="440" t="s">
        <v>180</v>
      </c>
      <c r="E22" s="441">
        <v>1</v>
      </c>
      <c r="F22" s="442"/>
      <c r="G22" s="442">
        <v>0</v>
      </c>
      <c r="H22" s="443">
        <f aca="true" t="shared" si="3" ref="H22:H27">SUM(F22+G22)</f>
        <v>0</v>
      </c>
      <c r="I22" s="443">
        <f t="shared" si="0"/>
        <v>0</v>
      </c>
      <c r="J22" s="443">
        <f t="shared" si="1"/>
        <v>0</v>
      </c>
      <c r="K22" s="443">
        <f t="shared" si="2"/>
        <v>0</v>
      </c>
    </row>
    <row r="23" spans="1:11" ht="15">
      <c r="A23" s="472"/>
      <c r="B23" s="445" t="s">
        <v>412</v>
      </c>
      <c r="C23" s="440"/>
      <c r="D23" s="440" t="s">
        <v>127</v>
      </c>
      <c r="E23" s="441">
        <v>1</v>
      </c>
      <c r="F23" s="442"/>
      <c r="G23" s="442">
        <v>0</v>
      </c>
      <c r="H23" s="443">
        <f t="shared" si="3"/>
        <v>0</v>
      </c>
      <c r="I23" s="443">
        <f t="shared" si="0"/>
        <v>0</v>
      </c>
      <c r="J23" s="443">
        <f t="shared" si="1"/>
        <v>0</v>
      </c>
      <c r="K23" s="443">
        <f t="shared" si="2"/>
        <v>0</v>
      </c>
    </row>
    <row r="24" spans="1:11" ht="15">
      <c r="A24" s="472"/>
      <c r="B24" s="445" t="s">
        <v>413</v>
      </c>
      <c r="C24" s="440"/>
      <c r="D24" s="440" t="s">
        <v>127</v>
      </c>
      <c r="E24" s="441">
        <v>1</v>
      </c>
      <c r="F24" s="442"/>
      <c r="G24" s="442">
        <v>0</v>
      </c>
      <c r="H24" s="443">
        <f t="shared" si="3"/>
        <v>0</v>
      </c>
      <c r="I24" s="443">
        <f t="shared" si="0"/>
        <v>0</v>
      </c>
      <c r="J24" s="443">
        <f t="shared" si="1"/>
        <v>0</v>
      </c>
      <c r="K24" s="443">
        <f t="shared" si="2"/>
        <v>0</v>
      </c>
    </row>
    <row r="25" spans="1:11" ht="15">
      <c r="A25" s="472"/>
      <c r="B25" s="445" t="s">
        <v>414</v>
      </c>
      <c r="C25" s="440"/>
      <c r="D25" s="440" t="s">
        <v>127</v>
      </c>
      <c r="E25" s="441">
        <v>1</v>
      </c>
      <c r="F25" s="442"/>
      <c r="G25" s="442">
        <v>0</v>
      </c>
      <c r="H25" s="443">
        <f t="shared" si="3"/>
        <v>0</v>
      </c>
      <c r="I25" s="443">
        <f t="shared" si="0"/>
        <v>0</v>
      </c>
      <c r="J25" s="443">
        <f t="shared" si="1"/>
        <v>0</v>
      </c>
      <c r="K25" s="443">
        <f t="shared" si="2"/>
        <v>0</v>
      </c>
    </row>
    <row r="26" spans="1:11" ht="15">
      <c r="A26" s="472"/>
      <c r="B26" s="445" t="s">
        <v>415</v>
      </c>
      <c r="C26" s="440"/>
      <c r="D26" s="440" t="s">
        <v>127</v>
      </c>
      <c r="E26" s="441">
        <v>1</v>
      </c>
      <c r="F26" s="442"/>
      <c r="G26" s="442">
        <v>0</v>
      </c>
      <c r="H26" s="443">
        <f t="shared" si="3"/>
        <v>0</v>
      </c>
      <c r="I26" s="443">
        <f t="shared" si="0"/>
        <v>0</v>
      </c>
      <c r="J26" s="443">
        <f t="shared" si="1"/>
        <v>0</v>
      </c>
      <c r="K26" s="443">
        <f t="shared" si="2"/>
        <v>0</v>
      </c>
    </row>
    <row r="27" spans="1:11" ht="15">
      <c r="A27" s="472"/>
      <c r="B27" s="445" t="s">
        <v>416</v>
      </c>
      <c r="C27" s="440"/>
      <c r="D27" s="440" t="s">
        <v>127</v>
      </c>
      <c r="E27" s="441">
        <v>1</v>
      </c>
      <c r="F27" s="442"/>
      <c r="G27" s="442">
        <v>0</v>
      </c>
      <c r="H27" s="443">
        <f t="shared" si="3"/>
        <v>0</v>
      </c>
      <c r="I27" s="443">
        <f t="shared" si="0"/>
        <v>0</v>
      </c>
      <c r="J27" s="443">
        <f t="shared" si="1"/>
        <v>0</v>
      </c>
      <c r="K27" s="443">
        <f t="shared" si="2"/>
        <v>0</v>
      </c>
    </row>
    <row r="28" spans="1:11" ht="15">
      <c r="A28" s="472"/>
      <c r="B28" s="439" t="s">
        <v>390</v>
      </c>
      <c r="C28" s="440"/>
      <c r="D28" s="440"/>
      <c r="E28" s="441"/>
      <c r="F28" s="442"/>
      <c r="G28" s="442"/>
      <c r="H28" s="443"/>
      <c r="I28" s="443"/>
      <c r="J28" s="443"/>
      <c r="K28" s="444">
        <f>SUM(K16:K22)</f>
        <v>0</v>
      </c>
    </row>
    <row r="29" spans="1:11" ht="15">
      <c r="A29" s="472"/>
      <c r="B29" s="439" t="s">
        <v>417</v>
      </c>
      <c r="C29" s="440"/>
      <c r="D29" s="440" t="s">
        <v>418</v>
      </c>
      <c r="E29" s="441">
        <v>1</v>
      </c>
      <c r="F29" s="442"/>
      <c r="G29" s="442"/>
      <c r="H29" s="443"/>
      <c r="I29" s="443"/>
      <c r="J29" s="443"/>
      <c r="K29" s="444">
        <f>SUM(K28)*0.035</f>
        <v>0</v>
      </c>
    </row>
    <row r="30" spans="1:11" ht="15">
      <c r="A30" s="472"/>
      <c r="B30" s="446" t="s">
        <v>419</v>
      </c>
      <c r="C30" s="440"/>
      <c r="D30" s="440"/>
      <c r="E30" s="441"/>
      <c r="F30" s="442"/>
      <c r="G30" s="442"/>
      <c r="H30" s="443"/>
      <c r="I30" s="443"/>
      <c r="J30" s="443"/>
      <c r="K30" s="444">
        <f>SUM(K28:K29)</f>
        <v>0</v>
      </c>
    </row>
    <row r="31" spans="1:11" ht="15">
      <c r="A31" s="447"/>
      <c r="B31" s="447"/>
      <c r="C31" s="447"/>
      <c r="D31" s="447"/>
      <c r="E31" s="447"/>
      <c r="F31" s="448"/>
      <c r="G31" s="448"/>
      <c r="H31" s="447"/>
      <c r="I31" s="447"/>
      <c r="J31" s="447"/>
      <c r="K31" s="447"/>
    </row>
    <row r="32" spans="1:11" ht="15">
      <c r="A32" s="472"/>
      <c r="B32" s="439" t="s">
        <v>420</v>
      </c>
      <c r="C32" s="440"/>
      <c r="D32" s="440"/>
      <c r="E32" s="441"/>
      <c r="F32" s="442"/>
      <c r="G32" s="442"/>
      <c r="H32" s="443"/>
      <c r="I32" s="443"/>
      <c r="J32" s="443"/>
      <c r="K32" s="444">
        <f>SUM(K44)</f>
        <v>0</v>
      </c>
    </row>
    <row r="33" spans="1:11" ht="15">
      <c r="A33" s="472"/>
      <c r="B33" s="445" t="s">
        <v>421</v>
      </c>
      <c r="C33" s="440"/>
      <c r="D33" s="440" t="s">
        <v>339</v>
      </c>
      <c r="E33" s="441"/>
      <c r="F33" s="442"/>
      <c r="G33" s="442"/>
      <c r="H33" s="443"/>
      <c r="I33" s="443"/>
      <c r="J33" s="443"/>
      <c r="K33" s="443"/>
    </row>
    <row r="34" spans="1:11" ht="15">
      <c r="A34" s="472"/>
      <c r="B34" s="449" t="s">
        <v>422</v>
      </c>
      <c r="C34" s="440" t="s">
        <v>400</v>
      </c>
      <c r="D34" s="440" t="s">
        <v>339</v>
      </c>
      <c r="E34" s="441">
        <v>6</v>
      </c>
      <c r="F34" s="450">
        <v>0</v>
      </c>
      <c r="G34" s="442">
        <v>0</v>
      </c>
      <c r="H34" s="443">
        <f aca="true" t="shared" si="4" ref="H34:H41">SUM(F34+G34)</f>
        <v>0</v>
      </c>
      <c r="I34" s="443">
        <f aca="true" t="shared" si="5" ref="I34:I41">SUM(F34*E34)</f>
        <v>0</v>
      </c>
      <c r="J34" s="443">
        <f aca="true" t="shared" si="6" ref="J34:J41">SUM(G34*E34)</f>
        <v>0</v>
      </c>
      <c r="K34" s="443">
        <f aca="true" t="shared" si="7" ref="K34:K41">SUM(I34+J34)</f>
        <v>0</v>
      </c>
    </row>
    <row r="35" spans="1:11" ht="15">
      <c r="A35" s="472"/>
      <c r="B35" s="449" t="s">
        <v>423</v>
      </c>
      <c r="C35" s="440" t="s">
        <v>400</v>
      </c>
      <c r="D35" s="440" t="s">
        <v>339</v>
      </c>
      <c r="E35" s="441">
        <v>1</v>
      </c>
      <c r="F35" s="450">
        <v>0</v>
      </c>
      <c r="G35" s="442">
        <v>0</v>
      </c>
      <c r="H35" s="443">
        <f t="shared" si="4"/>
        <v>0</v>
      </c>
      <c r="I35" s="443">
        <f t="shared" si="5"/>
        <v>0</v>
      </c>
      <c r="J35" s="443">
        <f t="shared" si="6"/>
        <v>0</v>
      </c>
      <c r="K35" s="443">
        <f t="shared" si="7"/>
        <v>0</v>
      </c>
    </row>
    <row r="36" spans="1:11" ht="15">
      <c r="A36" s="472"/>
      <c r="B36" s="449" t="s">
        <v>424</v>
      </c>
      <c r="C36" s="440" t="s">
        <v>400</v>
      </c>
      <c r="D36" s="440" t="s">
        <v>339</v>
      </c>
      <c r="E36" s="441">
        <v>1</v>
      </c>
      <c r="F36" s="450">
        <v>0</v>
      </c>
      <c r="G36" s="442">
        <v>0</v>
      </c>
      <c r="H36" s="443">
        <f t="shared" si="4"/>
        <v>0</v>
      </c>
      <c r="I36" s="443">
        <f t="shared" si="5"/>
        <v>0</v>
      </c>
      <c r="J36" s="443">
        <f t="shared" si="6"/>
        <v>0</v>
      </c>
      <c r="K36" s="443">
        <f t="shared" si="7"/>
        <v>0</v>
      </c>
    </row>
    <row r="37" spans="1:11" ht="15">
      <c r="A37" s="472"/>
      <c r="B37" s="445" t="s">
        <v>425</v>
      </c>
      <c r="C37" s="440" t="s">
        <v>400</v>
      </c>
      <c r="D37" s="440" t="s">
        <v>180</v>
      </c>
      <c r="E37" s="441">
        <v>1</v>
      </c>
      <c r="F37" s="450">
        <v>0</v>
      </c>
      <c r="G37" s="442">
        <v>0</v>
      </c>
      <c r="H37" s="443">
        <f t="shared" si="4"/>
        <v>0</v>
      </c>
      <c r="I37" s="443">
        <f t="shared" si="5"/>
        <v>0</v>
      </c>
      <c r="J37" s="443">
        <f t="shared" si="6"/>
        <v>0</v>
      </c>
      <c r="K37" s="443">
        <f t="shared" si="7"/>
        <v>0</v>
      </c>
    </row>
    <row r="38" spans="1:11" ht="15">
      <c r="A38" s="472"/>
      <c r="B38" s="445" t="s">
        <v>426</v>
      </c>
      <c r="C38" s="440" t="s">
        <v>400</v>
      </c>
      <c r="D38" s="440" t="s">
        <v>180</v>
      </c>
      <c r="E38" s="441">
        <v>1</v>
      </c>
      <c r="F38" s="451">
        <v>0</v>
      </c>
      <c r="G38" s="442">
        <v>0</v>
      </c>
      <c r="H38" s="443">
        <f t="shared" si="4"/>
        <v>0</v>
      </c>
      <c r="I38" s="443">
        <f t="shared" si="5"/>
        <v>0</v>
      </c>
      <c r="J38" s="443">
        <f t="shared" si="6"/>
        <v>0</v>
      </c>
      <c r="K38" s="443">
        <f t="shared" si="7"/>
        <v>0</v>
      </c>
    </row>
    <row r="39" spans="1:11" ht="15">
      <c r="A39" s="472"/>
      <c r="B39" s="445" t="s">
        <v>427</v>
      </c>
      <c r="C39" s="440" t="s">
        <v>400</v>
      </c>
      <c r="D39" s="440" t="s">
        <v>428</v>
      </c>
      <c r="E39" s="441">
        <v>2</v>
      </c>
      <c r="F39" s="451">
        <v>0</v>
      </c>
      <c r="G39" s="442">
        <v>0</v>
      </c>
      <c r="H39" s="443">
        <f t="shared" si="4"/>
        <v>0</v>
      </c>
      <c r="I39" s="443">
        <f t="shared" si="5"/>
        <v>0</v>
      </c>
      <c r="J39" s="443">
        <f t="shared" si="6"/>
        <v>0</v>
      </c>
      <c r="K39" s="443">
        <f t="shared" si="7"/>
        <v>0</v>
      </c>
    </row>
    <row r="40" spans="1:11" ht="15">
      <c r="A40" s="472"/>
      <c r="B40" s="445" t="s">
        <v>429</v>
      </c>
      <c r="C40" s="440"/>
      <c r="D40" s="440" t="s">
        <v>339</v>
      </c>
      <c r="E40" s="441">
        <v>5</v>
      </c>
      <c r="F40" s="442">
        <v>0</v>
      </c>
      <c r="G40" s="442">
        <v>0</v>
      </c>
      <c r="H40" s="443">
        <f t="shared" si="4"/>
        <v>0</v>
      </c>
      <c r="I40" s="443">
        <f t="shared" si="5"/>
        <v>0</v>
      </c>
      <c r="J40" s="443">
        <f t="shared" si="6"/>
        <v>0</v>
      </c>
      <c r="K40" s="443">
        <f t="shared" si="7"/>
        <v>0</v>
      </c>
    </row>
    <row r="41" spans="1:11" ht="15">
      <c r="A41" s="472"/>
      <c r="B41" s="445" t="s">
        <v>430</v>
      </c>
      <c r="C41" s="440" t="s">
        <v>400</v>
      </c>
      <c r="D41" s="440" t="s">
        <v>180</v>
      </c>
      <c r="E41" s="441">
        <v>1</v>
      </c>
      <c r="F41" s="442">
        <v>0</v>
      </c>
      <c r="G41" s="442">
        <v>0</v>
      </c>
      <c r="H41" s="443">
        <f t="shared" si="4"/>
        <v>0</v>
      </c>
      <c r="I41" s="443">
        <f t="shared" si="5"/>
        <v>0</v>
      </c>
      <c r="J41" s="443">
        <f t="shared" si="6"/>
        <v>0</v>
      </c>
      <c r="K41" s="443">
        <f t="shared" si="7"/>
        <v>0</v>
      </c>
    </row>
    <row r="42" spans="1:11" ht="15">
      <c r="A42" s="472"/>
      <c r="B42" s="439" t="s">
        <v>390</v>
      </c>
      <c r="C42" s="452"/>
      <c r="D42" s="452"/>
      <c r="E42" s="453"/>
      <c r="F42" s="454"/>
      <c r="G42" s="454"/>
      <c r="H42" s="455"/>
      <c r="I42" s="455"/>
      <c r="J42" s="455"/>
      <c r="K42" s="444">
        <f>SUM(K34:K41)</f>
        <v>0</v>
      </c>
    </row>
    <row r="43" spans="1:11" ht="15">
      <c r="A43" s="472"/>
      <c r="B43" s="439" t="s">
        <v>417</v>
      </c>
      <c r="C43" s="440"/>
      <c r="D43" s="440" t="s">
        <v>418</v>
      </c>
      <c r="E43" s="441">
        <v>1</v>
      </c>
      <c r="F43" s="442"/>
      <c r="G43" s="442"/>
      <c r="H43" s="443"/>
      <c r="I43" s="443"/>
      <c r="J43" s="443"/>
      <c r="K43" s="443">
        <f>SUM(K42)*0.025</f>
        <v>0</v>
      </c>
    </row>
    <row r="44" spans="1:11" ht="15">
      <c r="A44" s="472"/>
      <c r="B44" s="456" t="s">
        <v>431</v>
      </c>
      <c r="C44" s="440"/>
      <c r="D44" s="440"/>
      <c r="E44" s="441"/>
      <c r="F44" s="442"/>
      <c r="G44" s="442"/>
      <c r="H44" s="443"/>
      <c r="I44" s="443"/>
      <c r="J44" s="443"/>
      <c r="K44" s="444">
        <f>SUM(K42:K43)</f>
        <v>0</v>
      </c>
    </row>
    <row r="45" spans="1:11" ht="15">
      <c r="A45" s="472"/>
      <c r="B45" s="445"/>
      <c r="C45" s="440"/>
      <c r="D45" s="440"/>
      <c r="E45" s="441"/>
      <c r="F45" s="442"/>
      <c r="G45" s="442"/>
      <c r="H45" s="443"/>
      <c r="I45" s="443"/>
      <c r="J45" s="443"/>
      <c r="K45" s="443"/>
    </row>
    <row r="46" spans="1:11" ht="15">
      <c r="A46" s="472"/>
      <c r="B46" s="439" t="s">
        <v>432</v>
      </c>
      <c r="C46" s="440"/>
      <c r="D46" s="440"/>
      <c r="E46" s="441"/>
      <c r="F46" s="442"/>
      <c r="G46" s="442"/>
      <c r="H46" s="443"/>
      <c r="I46" s="443"/>
      <c r="J46" s="443"/>
      <c r="K46" s="444">
        <f>SUM(K62)</f>
        <v>0</v>
      </c>
    </row>
    <row r="47" spans="1:11" ht="15">
      <c r="A47" s="472"/>
      <c r="B47" s="445" t="s">
        <v>433</v>
      </c>
      <c r="C47" s="440"/>
      <c r="D47" s="440" t="s">
        <v>339</v>
      </c>
      <c r="E47" s="441"/>
      <c r="F47" s="442"/>
      <c r="G47" s="442"/>
      <c r="H47" s="443"/>
      <c r="I47" s="443"/>
      <c r="J47" s="443"/>
      <c r="K47" s="443"/>
    </row>
    <row r="48" spans="1:11" ht="15">
      <c r="A48" s="472"/>
      <c r="B48" s="449" t="s">
        <v>434</v>
      </c>
      <c r="C48" s="440" t="s">
        <v>400</v>
      </c>
      <c r="D48" s="440" t="s">
        <v>339</v>
      </c>
      <c r="E48" s="441">
        <v>4</v>
      </c>
      <c r="F48" s="450">
        <v>0</v>
      </c>
      <c r="G48" s="442">
        <v>0</v>
      </c>
      <c r="H48" s="443">
        <f>SUM(F48+G48)</f>
        <v>0</v>
      </c>
      <c r="I48" s="443">
        <f>SUM(F48*E48)</f>
        <v>0</v>
      </c>
      <c r="J48" s="443">
        <f>SUM(G48*E48)</f>
        <v>0</v>
      </c>
      <c r="K48" s="443">
        <f>SUM(I48+J48)</f>
        <v>0</v>
      </c>
    </row>
    <row r="49" spans="1:11" ht="15">
      <c r="A49" s="472"/>
      <c r="B49" s="449" t="s">
        <v>435</v>
      </c>
      <c r="C49" s="440" t="s">
        <v>400</v>
      </c>
      <c r="D49" s="440" t="s">
        <v>339</v>
      </c>
      <c r="E49" s="441">
        <v>4</v>
      </c>
      <c r="F49" s="450">
        <v>0</v>
      </c>
      <c r="G49" s="442">
        <v>0</v>
      </c>
      <c r="H49" s="443">
        <f>SUM(F49+G49)</f>
        <v>0</v>
      </c>
      <c r="I49" s="443">
        <f>SUM(F49*E49)</f>
        <v>0</v>
      </c>
      <c r="J49" s="443">
        <f>SUM(G49*E49)</f>
        <v>0</v>
      </c>
      <c r="K49" s="443">
        <f>SUM(I49+J49)</f>
        <v>0</v>
      </c>
    </row>
    <row r="50" spans="1:11" ht="15">
      <c r="A50" s="472"/>
      <c r="B50" s="449" t="s">
        <v>436</v>
      </c>
      <c r="C50" s="440" t="s">
        <v>400</v>
      </c>
      <c r="D50" s="440" t="s">
        <v>339</v>
      </c>
      <c r="E50" s="441">
        <v>1</v>
      </c>
      <c r="F50" s="450">
        <v>0</v>
      </c>
      <c r="G50" s="442">
        <v>0</v>
      </c>
      <c r="H50" s="443">
        <f>SUM(F50+G50)</f>
        <v>0</v>
      </c>
      <c r="I50" s="443">
        <f>SUM(F50*E50)</f>
        <v>0</v>
      </c>
      <c r="J50" s="443">
        <f>SUM(G50*E50)</f>
        <v>0</v>
      </c>
      <c r="K50" s="443">
        <f>SUM(I50+J50)</f>
        <v>0</v>
      </c>
    </row>
    <row r="51" spans="1:11" ht="15">
      <c r="A51" s="472"/>
      <c r="B51" s="445" t="s">
        <v>437</v>
      </c>
      <c r="C51" s="440" t="s">
        <v>400</v>
      </c>
      <c r="D51" s="440"/>
      <c r="E51" s="443"/>
      <c r="F51" s="451"/>
      <c r="G51" s="442"/>
      <c r="H51" s="443"/>
      <c r="I51" s="443"/>
      <c r="J51" s="443"/>
      <c r="K51" s="443"/>
    </row>
    <row r="52" spans="1:11" ht="15">
      <c r="A52" s="472"/>
      <c r="B52" s="445" t="s">
        <v>438</v>
      </c>
      <c r="C52" s="440" t="s">
        <v>400</v>
      </c>
      <c r="D52" s="440" t="s">
        <v>127</v>
      </c>
      <c r="E52" s="457">
        <v>2</v>
      </c>
      <c r="F52" s="451">
        <v>0</v>
      </c>
      <c r="G52" s="442">
        <v>0</v>
      </c>
      <c r="H52" s="443">
        <f aca="true" t="shared" si="8" ref="H52:H59">SUM(F52+G52)</f>
        <v>0</v>
      </c>
      <c r="I52" s="443">
        <f aca="true" t="shared" si="9" ref="I52:I59">SUM(F52*E52)</f>
        <v>0</v>
      </c>
      <c r="J52" s="443">
        <f aca="true" t="shared" si="10" ref="J52:J59">SUM(G52*E52)</f>
        <v>0</v>
      </c>
      <c r="K52" s="443">
        <f aca="true" t="shared" si="11" ref="K52:K59">SUM(I52+J52)</f>
        <v>0</v>
      </c>
    </row>
    <row r="53" spans="1:11" ht="15">
      <c r="A53" s="472"/>
      <c r="B53" s="445" t="s">
        <v>439</v>
      </c>
      <c r="C53" s="440" t="s">
        <v>400</v>
      </c>
      <c r="D53" s="440" t="s">
        <v>127</v>
      </c>
      <c r="E53" s="457">
        <v>2</v>
      </c>
      <c r="F53" s="451">
        <v>0</v>
      </c>
      <c r="G53" s="442">
        <v>0</v>
      </c>
      <c r="H53" s="443">
        <f t="shared" si="8"/>
        <v>0</v>
      </c>
      <c r="I53" s="443">
        <f t="shared" si="9"/>
        <v>0</v>
      </c>
      <c r="J53" s="443">
        <f t="shared" si="10"/>
        <v>0</v>
      </c>
      <c r="K53" s="443">
        <f t="shared" si="11"/>
        <v>0</v>
      </c>
    </row>
    <row r="54" spans="1:11" ht="15">
      <c r="A54" s="472"/>
      <c r="B54" s="445" t="s">
        <v>440</v>
      </c>
      <c r="C54" s="440" t="s">
        <v>400</v>
      </c>
      <c r="D54" s="440" t="s">
        <v>339</v>
      </c>
      <c r="E54" s="441">
        <v>8</v>
      </c>
      <c r="F54" s="442">
        <v>0</v>
      </c>
      <c r="G54" s="442">
        <v>0</v>
      </c>
      <c r="H54" s="443">
        <f t="shared" si="8"/>
        <v>0</v>
      </c>
      <c r="I54" s="443">
        <f t="shared" si="9"/>
        <v>0</v>
      </c>
      <c r="J54" s="443">
        <f t="shared" si="10"/>
        <v>0</v>
      </c>
      <c r="K54" s="443">
        <f t="shared" si="11"/>
        <v>0</v>
      </c>
    </row>
    <row r="55" spans="1:11" ht="15">
      <c r="A55" s="472"/>
      <c r="B55" s="445" t="s">
        <v>425</v>
      </c>
      <c r="C55" s="440" t="s">
        <v>400</v>
      </c>
      <c r="D55" s="440" t="s">
        <v>180</v>
      </c>
      <c r="E55" s="441">
        <v>1</v>
      </c>
      <c r="F55" s="450">
        <v>0</v>
      </c>
      <c r="G55" s="442">
        <v>0</v>
      </c>
      <c r="H55" s="443">
        <f t="shared" si="8"/>
        <v>0</v>
      </c>
      <c r="I55" s="443">
        <f t="shared" si="9"/>
        <v>0</v>
      </c>
      <c r="J55" s="443">
        <f t="shared" si="10"/>
        <v>0</v>
      </c>
      <c r="K55" s="443">
        <f t="shared" si="11"/>
        <v>0</v>
      </c>
    </row>
    <row r="56" spans="1:11" ht="15">
      <c r="A56" s="472"/>
      <c r="B56" s="445" t="s">
        <v>441</v>
      </c>
      <c r="C56" s="440"/>
      <c r="D56" s="440" t="s">
        <v>339</v>
      </c>
      <c r="E56" s="441">
        <f>SUM(E48:E50)</f>
        <v>9</v>
      </c>
      <c r="F56" s="442">
        <v>0</v>
      </c>
      <c r="G56" s="442">
        <v>0</v>
      </c>
      <c r="H56" s="443">
        <f t="shared" si="8"/>
        <v>0</v>
      </c>
      <c r="I56" s="443">
        <f t="shared" si="9"/>
        <v>0</v>
      </c>
      <c r="J56" s="443">
        <f t="shared" si="10"/>
        <v>0</v>
      </c>
      <c r="K56" s="443">
        <f t="shared" si="11"/>
        <v>0</v>
      </c>
    </row>
    <row r="57" spans="1:11" ht="24">
      <c r="A57" s="472"/>
      <c r="B57" s="445" t="s">
        <v>442</v>
      </c>
      <c r="C57" s="440" t="s">
        <v>400</v>
      </c>
      <c r="D57" s="440" t="s">
        <v>180</v>
      </c>
      <c r="E57" s="441">
        <v>1</v>
      </c>
      <c r="F57" s="451">
        <v>0</v>
      </c>
      <c r="G57" s="442">
        <v>0</v>
      </c>
      <c r="H57" s="443">
        <f t="shared" si="8"/>
        <v>0</v>
      </c>
      <c r="I57" s="443">
        <f t="shared" si="9"/>
        <v>0</v>
      </c>
      <c r="J57" s="443">
        <f t="shared" si="10"/>
        <v>0</v>
      </c>
      <c r="K57" s="443">
        <f t="shared" si="11"/>
        <v>0</v>
      </c>
    </row>
    <row r="58" spans="1:11" ht="15">
      <c r="A58" s="472"/>
      <c r="B58" s="445" t="s">
        <v>427</v>
      </c>
      <c r="C58" s="440" t="s">
        <v>400</v>
      </c>
      <c r="D58" s="440" t="s">
        <v>428</v>
      </c>
      <c r="E58" s="441">
        <v>4</v>
      </c>
      <c r="F58" s="451">
        <v>0</v>
      </c>
      <c r="G58" s="442">
        <v>0</v>
      </c>
      <c r="H58" s="443">
        <f t="shared" si="8"/>
        <v>0</v>
      </c>
      <c r="I58" s="443">
        <f t="shared" si="9"/>
        <v>0</v>
      </c>
      <c r="J58" s="443">
        <f t="shared" si="10"/>
        <v>0</v>
      </c>
      <c r="K58" s="443">
        <f t="shared" si="11"/>
        <v>0</v>
      </c>
    </row>
    <row r="59" spans="1:11" ht="15">
      <c r="A59" s="472"/>
      <c r="B59" s="445" t="s">
        <v>430</v>
      </c>
      <c r="C59" s="440" t="s">
        <v>400</v>
      </c>
      <c r="D59" s="440" t="s">
        <v>180</v>
      </c>
      <c r="E59" s="441">
        <v>1</v>
      </c>
      <c r="F59" s="442">
        <v>0</v>
      </c>
      <c r="G59" s="442">
        <v>0</v>
      </c>
      <c r="H59" s="443">
        <f t="shared" si="8"/>
        <v>0</v>
      </c>
      <c r="I59" s="443">
        <f t="shared" si="9"/>
        <v>0</v>
      </c>
      <c r="J59" s="443">
        <f t="shared" si="10"/>
        <v>0</v>
      </c>
      <c r="K59" s="443">
        <f t="shared" si="11"/>
        <v>0</v>
      </c>
    </row>
    <row r="60" spans="1:11" ht="15">
      <c r="A60" s="472"/>
      <c r="B60" s="439" t="s">
        <v>390</v>
      </c>
      <c r="C60" s="440"/>
      <c r="D60" s="440"/>
      <c r="E60" s="441"/>
      <c r="F60" s="442"/>
      <c r="G60" s="442"/>
      <c r="H60" s="443"/>
      <c r="I60" s="443"/>
      <c r="J60" s="443"/>
      <c r="K60" s="444">
        <f>SUM(K48:K59)</f>
        <v>0</v>
      </c>
    </row>
    <row r="61" spans="1:11" ht="15">
      <c r="A61" s="472"/>
      <c r="B61" s="439" t="s">
        <v>417</v>
      </c>
      <c r="C61" s="440"/>
      <c r="D61" s="440" t="s">
        <v>418</v>
      </c>
      <c r="E61" s="441">
        <v>1</v>
      </c>
      <c r="F61" s="442"/>
      <c r="G61" s="442"/>
      <c r="H61" s="443"/>
      <c r="I61" s="443"/>
      <c r="J61" s="443"/>
      <c r="K61" s="444">
        <f>SUM(K60)*0.03</f>
        <v>0</v>
      </c>
    </row>
    <row r="62" spans="1:11" ht="15">
      <c r="A62" s="472"/>
      <c r="B62" s="456" t="s">
        <v>443</v>
      </c>
      <c r="C62" s="440"/>
      <c r="D62" s="440"/>
      <c r="E62" s="441"/>
      <c r="F62" s="442"/>
      <c r="G62" s="442"/>
      <c r="H62" s="443"/>
      <c r="I62" s="443"/>
      <c r="J62" s="443"/>
      <c r="K62" s="444">
        <f>SUM(K60:K61)</f>
        <v>0</v>
      </c>
    </row>
    <row r="63" spans="1:11" ht="15">
      <c r="A63" s="472"/>
      <c r="B63" s="439"/>
      <c r="C63" s="440"/>
      <c r="D63" s="440"/>
      <c r="E63" s="441"/>
      <c r="F63" s="442"/>
      <c r="G63" s="442"/>
      <c r="H63" s="443"/>
      <c r="I63" s="443"/>
      <c r="J63" s="443"/>
      <c r="K63" s="443"/>
    </row>
    <row r="64" spans="1:11" ht="15">
      <c r="A64" s="472"/>
      <c r="B64" s="439" t="s">
        <v>444</v>
      </c>
      <c r="C64" s="440"/>
      <c r="D64" s="440"/>
      <c r="E64" s="441"/>
      <c r="F64" s="442"/>
      <c r="G64" s="442"/>
      <c r="H64" s="443"/>
      <c r="I64" s="443"/>
      <c r="J64" s="443"/>
      <c r="K64" s="444">
        <f>SUM(K71)</f>
        <v>0</v>
      </c>
    </row>
    <row r="65" spans="1:11" ht="15">
      <c r="A65" s="472"/>
      <c r="B65" s="445" t="s">
        <v>445</v>
      </c>
      <c r="C65" s="440"/>
      <c r="D65" s="440"/>
      <c r="E65" s="441"/>
      <c r="F65" s="442"/>
      <c r="G65" s="442"/>
      <c r="H65" s="443"/>
      <c r="I65" s="443"/>
      <c r="J65" s="443"/>
      <c r="K65" s="443"/>
    </row>
    <row r="66" spans="1:11" ht="15">
      <c r="A66" s="472"/>
      <c r="B66" s="445" t="s">
        <v>446</v>
      </c>
      <c r="C66" s="440"/>
      <c r="D66" s="440"/>
      <c r="E66" s="441"/>
      <c r="F66" s="442"/>
      <c r="G66" s="442"/>
      <c r="H66" s="443"/>
      <c r="I66" s="443"/>
      <c r="J66" s="443"/>
      <c r="K66" s="443"/>
    </row>
    <row r="67" spans="1:11" ht="15">
      <c r="A67" s="472"/>
      <c r="B67" s="445" t="s">
        <v>447</v>
      </c>
      <c r="C67" s="440" t="s">
        <v>400</v>
      </c>
      <c r="D67" s="440" t="s">
        <v>339</v>
      </c>
      <c r="E67" s="441">
        <f>SUM(E48)</f>
        <v>4</v>
      </c>
      <c r="F67" s="442">
        <v>0</v>
      </c>
      <c r="G67" s="442">
        <v>0</v>
      </c>
      <c r="H67" s="443">
        <f>SUM(F67+G67)</f>
        <v>0</v>
      </c>
      <c r="I67" s="443">
        <f>SUM(F67*E67)</f>
        <v>0</v>
      </c>
      <c r="J67" s="443">
        <f>SUM(G67*E67)</f>
        <v>0</v>
      </c>
      <c r="K67" s="443">
        <f>SUM(I67+J67)</f>
        <v>0</v>
      </c>
    </row>
    <row r="68" spans="1:11" ht="15">
      <c r="A68" s="472"/>
      <c r="B68" s="445" t="s">
        <v>448</v>
      </c>
      <c r="C68" s="440" t="s">
        <v>400</v>
      </c>
      <c r="D68" s="440" t="s">
        <v>339</v>
      </c>
      <c r="E68" s="441">
        <f>SUM(E49,E50)</f>
        <v>5</v>
      </c>
      <c r="F68" s="442">
        <v>0</v>
      </c>
      <c r="G68" s="442">
        <v>0</v>
      </c>
      <c r="H68" s="443">
        <f>SUM(F68+G68)</f>
        <v>0</v>
      </c>
      <c r="I68" s="443">
        <f>SUM(F68*E68)</f>
        <v>0</v>
      </c>
      <c r="J68" s="443">
        <f>SUM(G68*E68)</f>
        <v>0</v>
      </c>
      <c r="K68" s="443">
        <f>SUM(I68+J68)</f>
        <v>0</v>
      </c>
    </row>
    <row r="69" spans="1:11" ht="15">
      <c r="A69" s="472"/>
      <c r="B69" s="439" t="s">
        <v>390</v>
      </c>
      <c r="C69" s="440"/>
      <c r="D69" s="440"/>
      <c r="E69" s="441"/>
      <c r="F69" s="442"/>
      <c r="G69" s="442"/>
      <c r="H69" s="443"/>
      <c r="I69" s="443"/>
      <c r="J69" s="443"/>
      <c r="K69" s="444">
        <f>SUM(K67:K68)</f>
        <v>0</v>
      </c>
    </row>
    <row r="70" spans="1:11" ht="15">
      <c r="A70" s="472"/>
      <c r="B70" s="439" t="s">
        <v>417</v>
      </c>
      <c r="C70" s="440"/>
      <c r="D70" s="440" t="s">
        <v>418</v>
      </c>
      <c r="E70" s="441">
        <v>1</v>
      </c>
      <c r="F70" s="442"/>
      <c r="G70" s="442"/>
      <c r="H70" s="443"/>
      <c r="I70" s="443"/>
      <c r="J70" s="443"/>
      <c r="K70" s="444">
        <f>SUM(K69)*0.035</f>
        <v>0</v>
      </c>
    </row>
    <row r="71" spans="1:11" ht="15">
      <c r="A71" s="472"/>
      <c r="B71" s="456" t="s">
        <v>449</v>
      </c>
      <c r="C71" s="440"/>
      <c r="D71" s="440"/>
      <c r="E71" s="441"/>
      <c r="F71" s="442"/>
      <c r="G71" s="442"/>
      <c r="H71" s="443"/>
      <c r="I71" s="443"/>
      <c r="J71" s="443"/>
      <c r="K71" s="444">
        <f>SUM(K69:K70)</f>
        <v>0</v>
      </c>
    </row>
    <row r="72" spans="1:11" ht="15">
      <c r="A72" s="473"/>
      <c r="B72" s="458"/>
      <c r="C72" s="459"/>
      <c r="D72" s="459"/>
      <c r="E72" s="460"/>
      <c r="F72" s="461"/>
      <c r="G72" s="461"/>
      <c r="H72" s="462"/>
      <c r="I72" s="462"/>
      <c r="J72" s="462"/>
      <c r="K72" s="463"/>
    </row>
    <row r="73" spans="1:11" ht="15">
      <c r="A73" s="472"/>
      <c r="B73" s="439" t="s">
        <v>389</v>
      </c>
      <c r="C73" s="440"/>
      <c r="D73" s="440"/>
      <c r="E73" s="441"/>
      <c r="F73" s="442"/>
      <c r="G73" s="442"/>
      <c r="H73" s="443"/>
      <c r="I73" s="443"/>
      <c r="J73" s="443"/>
      <c r="K73" s="444">
        <f>SUM(K79)</f>
        <v>0</v>
      </c>
    </row>
    <row r="74" spans="1:11" ht="15">
      <c r="A74" s="472"/>
      <c r="B74" s="449" t="s">
        <v>450</v>
      </c>
      <c r="C74" s="440" t="s">
        <v>400</v>
      </c>
      <c r="D74" s="440" t="s">
        <v>127</v>
      </c>
      <c r="E74" s="441">
        <v>2</v>
      </c>
      <c r="F74" s="442">
        <v>0</v>
      </c>
      <c r="G74" s="442">
        <v>0</v>
      </c>
      <c r="H74" s="443">
        <f>SUM(F74+G74)</f>
        <v>0</v>
      </c>
      <c r="I74" s="443">
        <f>SUM(F74*E74)</f>
        <v>0</v>
      </c>
      <c r="J74" s="443">
        <f>SUM(G74*E74)</f>
        <v>0</v>
      </c>
      <c r="K74" s="443">
        <f>SUM(I74+J74)</f>
        <v>0</v>
      </c>
    </row>
    <row r="75" spans="1:11" ht="15">
      <c r="A75" s="472"/>
      <c r="B75" s="445" t="s">
        <v>451</v>
      </c>
      <c r="C75" s="440" t="s">
        <v>400</v>
      </c>
      <c r="D75" s="440" t="s">
        <v>418</v>
      </c>
      <c r="E75" s="441">
        <v>1</v>
      </c>
      <c r="F75" s="442">
        <v>0</v>
      </c>
      <c r="G75" s="442">
        <v>0</v>
      </c>
      <c r="H75" s="443">
        <f>SUM(F75+G75)</f>
        <v>0</v>
      </c>
      <c r="I75" s="443">
        <f>SUM(F75*E75)</f>
        <v>0</v>
      </c>
      <c r="J75" s="443">
        <f>SUM(G75*E75)</f>
        <v>0</v>
      </c>
      <c r="K75" s="443">
        <f>SUM(I75+J75)</f>
        <v>0</v>
      </c>
    </row>
    <row r="76" spans="1:11" ht="15">
      <c r="A76" s="472"/>
      <c r="B76" s="445" t="s">
        <v>452</v>
      </c>
      <c r="C76" s="440" t="s">
        <v>400</v>
      </c>
      <c r="D76" s="440" t="s">
        <v>127</v>
      </c>
      <c r="E76" s="457">
        <v>1</v>
      </c>
      <c r="F76" s="442">
        <v>0</v>
      </c>
      <c r="G76" s="442">
        <v>0</v>
      </c>
      <c r="H76" s="443">
        <f>SUM(F76+G76)</f>
        <v>0</v>
      </c>
      <c r="I76" s="443">
        <f>SUM(F76*E76)</f>
        <v>0</v>
      </c>
      <c r="J76" s="443">
        <f>SUM(G76*E76)</f>
        <v>0</v>
      </c>
      <c r="K76" s="443">
        <f>SUM(I76+J76)</f>
        <v>0</v>
      </c>
    </row>
    <row r="77" spans="1:11" ht="15">
      <c r="A77" s="472"/>
      <c r="B77" s="439" t="s">
        <v>390</v>
      </c>
      <c r="C77" s="440"/>
      <c r="D77" s="440"/>
      <c r="E77" s="441"/>
      <c r="F77" s="442"/>
      <c r="G77" s="442"/>
      <c r="H77" s="443"/>
      <c r="I77" s="443"/>
      <c r="J77" s="443"/>
      <c r="K77" s="444">
        <f>SUM(K74:K76)</f>
        <v>0</v>
      </c>
    </row>
    <row r="78" spans="1:11" ht="15">
      <c r="A78" s="472"/>
      <c r="B78" s="464" t="s">
        <v>417</v>
      </c>
      <c r="C78" s="465"/>
      <c r="D78" s="465" t="s">
        <v>418</v>
      </c>
      <c r="E78" s="466">
        <v>1</v>
      </c>
      <c r="F78" s="467"/>
      <c r="G78" s="467"/>
      <c r="H78" s="468"/>
      <c r="I78" s="468"/>
      <c r="J78" s="468"/>
      <c r="K78" s="469">
        <f>SUM(K77)*0.03</f>
        <v>0</v>
      </c>
    </row>
    <row r="79" spans="1:11" ht="15">
      <c r="A79" s="472"/>
      <c r="B79" s="456" t="s">
        <v>453</v>
      </c>
      <c r="C79" s="440"/>
      <c r="D79" s="440"/>
      <c r="E79" s="441"/>
      <c r="F79" s="442"/>
      <c r="G79" s="442"/>
      <c r="H79" s="443"/>
      <c r="I79" s="443"/>
      <c r="J79" s="443"/>
      <c r="K79" s="444">
        <f>SUM(K77:K78)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 topLeftCell="A1">
      <selection activeCell="T23" sqref="T23"/>
    </sheetView>
  </sheetViews>
  <sheetFormatPr defaultColWidth="9.140625" defaultRowHeight="15"/>
  <cols>
    <col min="2" max="2" width="10.00390625" style="0" bestFit="1" customWidth="1"/>
    <col min="3" max="3" width="48.140625" style="0" customWidth="1"/>
    <col min="5" max="8" width="9.28125" style="0" bestFit="1" customWidth="1"/>
  </cols>
  <sheetData>
    <row r="1" spans="1:8" ht="39" customHeight="1">
      <c r="A1" s="474"/>
      <c r="B1" s="45"/>
      <c r="C1" s="514" t="s">
        <v>31</v>
      </c>
      <c r="D1" s="50"/>
      <c r="E1" s="475"/>
      <c r="F1" s="47"/>
      <c r="G1" s="48"/>
      <c r="H1" s="49"/>
    </row>
    <row r="2" spans="1:8" ht="15">
      <c r="A2" s="474"/>
      <c r="B2" s="45"/>
      <c r="C2" s="50" t="s">
        <v>32</v>
      </c>
      <c r="D2" s="50"/>
      <c r="E2" s="475"/>
      <c r="F2" s="47"/>
      <c r="G2" s="48"/>
      <c r="H2" s="49"/>
    </row>
    <row r="3" spans="1:8" ht="33.75" customHeight="1">
      <c r="A3" s="474"/>
      <c r="B3" s="45"/>
      <c r="C3" s="267" t="s">
        <v>45</v>
      </c>
      <c r="D3" s="50"/>
      <c r="E3" s="475"/>
      <c r="F3" s="47"/>
      <c r="G3" s="48"/>
      <c r="H3" s="49"/>
    </row>
    <row r="4" spans="1:8" ht="15">
      <c r="A4" s="474"/>
      <c r="B4" s="45"/>
      <c r="C4" s="51"/>
      <c r="D4" s="50"/>
      <c r="E4" s="475"/>
      <c r="F4" s="47"/>
      <c r="G4" s="48"/>
      <c r="H4" s="49"/>
    </row>
    <row r="5" spans="1:8" ht="32.25" customHeight="1">
      <c r="A5" s="474"/>
      <c r="B5" s="45"/>
      <c r="C5" s="517" t="s">
        <v>56</v>
      </c>
      <c r="D5" s="50"/>
      <c r="E5" s="475"/>
      <c r="F5" s="47"/>
      <c r="G5" s="48"/>
      <c r="H5" s="49"/>
    </row>
    <row r="6" spans="1:8" ht="15">
      <c r="A6" s="476"/>
      <c r="B6" s="53"/>
      <c r="C6" s="54"/>
      <c r="D6" s="277"/>
      <c r="E6" s="477"/>
      <c r="F6" s="57"/>
      <c r="G6" s="58"/>
      <c r="H6" s="59"/>
    </row>
    <row r="7" spans="1:8" ht="15">
      <c r="A7" s="474"/>
      <c r="B7" s="45"/>
      <c r="C7" s="50" t="s">
        <v>33</v>
      </c>
      <c r="D7" s="50"/>
      <c r="E7" s="475"/>
      <c r="F7" s="47"/>
      <c r="G7" s="48"/>
      <c r="H7" s="49"/>
    </row>
    <row r="8" spans="1:8" ht="30">
      <c r="A8" s="596"/>
      <c r="B8" s="217"/>
      <c r="C8" s="231" t="s">
        <v>268</v>
      </c>
      <c r="D8" s="219"/>
      <c r="E8" s="597"/>
      <c r="F8" s="220"/>
      <c r="G8" s="221"/>
      <c r="H8" s="222"/>
    </row>
    <row r="9" spans="1:8" ht="15">
      <c r="A9" s="596"/>
      <c r="B9" s="217"/>
      <c r="C9" s="232"/>
      <c r="D9" s="219"/>
      <c r="E9" s="597"/>
      <c r="F9" s="220"/>
      <c r="G9" s="221"/>
      <c r="H9" s="222"/>
    </row>
    <row r="10" spans="1:8" ht="15">
      <c r="A10" s="596"/>
      <c r="B10" s="217"/>
      <c r="C10" s="232"/>
      <c r="D10" s="219"/>
      <c r="E10" s="597"/>
      <c r="F10" s="220"/>
      <c r="G10" s="221"/>
      <c r="H10" s="222"/>
    </row>
    <row r="11" spans="1:8" ht="15">
      <c r="A11" s="596"/>
      <c r="B11" s="217"/>
      <c r="C11" s="232"/>
      <c r="D11" s="219"/>
      <c r="E11" s="597"/>
      <c r="F11" s="220"/>
      <c r="G11" s="221"/>
      <c r="H11" s="222"/>
    </row>
    <row r="12" spans="1:8" ht="15">
      <c r="A12" s="567"/>
      <c r="B12" s="224"/>
      <c r="C12" s="233"/>
      <c r="D12" s="226"/>
      <c r="E12" s="528"/>
      <c r="F12" s="228"/>
      <c r="G12" s="229"/>
      <c r="H12" s="230"/>
    </row>
    <row r="13" spans="1:8" ht="15">
      <c r="A13" s="567"/>
      <c r="B13" s="234"/>
      <c r="C13" s="235" t="s">
        <v>65</v>
      </c>
      <c r="D13" s="226"/>
      <c r="E13" s="528"/>
      <c r="F13" s="228"/>
      <c r="G13" s="236"/>
      <c r="H13" s="230"/>
    </row>
    <row r="14" spans="1:8" ht="15">
      <c r="A14" s="527" t="s">
        <v>66</v>
      </c>
      <c r="B14" s="234"/>
      <c r="C14" s="237" t="s">
        <v>49</v>
      </c>
      <c r="D14" s="226"/>
      <c r="E14" s="528"/>
      <c r="F14" s="228"/>
      <c r="G14" s="236"/>
      <c r="H14" s="230"/>
    </row>
    <row r="15" spans="1:8" ht="15">
      <c r="A15" s="527" t="s">
        <v>67</v>
      </c>
      <c r="B15" s="234"/>
      <c r="C15" s="238" t="s">
        <v>68</v>
      </c>
      <c r="D15" s="226" t="s">
        <v>51</v>
      </c>
      <c r="E15" s="528"/>
      <c r="F15" s="228"/>
      <c r="G15" s="236">
        <f>G47</f>
        <v>0</v>
      </c>
      <c r="H15" s="230"/>
    </row>
    <row r="16" spans="1:8" ht="15">
      <c r="A16" s="527" t="s">
        <v>69</v>
      </c>
      <c r="B16" s="224"/>
      <c r="C16" s="238" t="s">
        <v>467</v>
      </c>
      <c r="D16" s="226" t="s">
        <v>51</v>
      </c>
      <c r="E16" s="528"/>
      <c r="F16" s="228"/>
      <c r="G16" s="236">
        <f>G56</f>
        <v>0</v>
      </c>
      <c r="H16" s="230"/>
    </row>
    <row r="17" spans="1:8" ht="15">
      <c r="A17" s="527" t="s">
        <v>71</v>
      </c>
      <c r="B17" s="224"/>
      <c r="C17" s="238" t="s">
        <v>493</v>
      </c>
      <c r="D17" s="226" t="s">
        <v>51</v>
      </c>
      <c r="E17" s="528"/>
      <c r="F17" s="228"/>
      <c r="G17" s="236">
        <f>G67</f>
        <v>0</v>
      </c>
      <c r="H17" s="230"/>
    </row>
    <row r="18" spans="1:8" ht="15">
      <c r="A18" s="527" t="s">
        <v>73</v>
      </c>
      <c r="B18" s="224"/>
      <c r="C18" s="238" t="s">
        <v>76</v>
      </c>
      <c r="D18" s="226" t="s">
        <v>51</v>
      </c>
      <c r="E18" s="528"/>
      <c r="F18" s="228"/>
      <c r="G18" s="236">
        <f>G75</f>
        <v>0</v>
      </c>
      <c r="H18" s="230"/>
    </row>
    <row r="19" spans="1:8" ht="15">
      <c r="A19" s="527" t="s">
        <v>75</v>
      </c>
      <c r="B19" s="224"/>
      <c r="C19" s="238" t="s">
        <v>494</v>
      </c>
      <c r="D19" s="226" t="s">
        <v>51</v>
      </c>
      <c r="E19" s="528"/>
      <c r="F19" s="228"/>
      <c r="G19" s="236">
        <f>G80</f>
        <v>0</v>
      </c>
      <c r="H19" s="230"/>
    </row>
    <row r="20" spans="1:8" ht="15">
      <c r="A20" s="527" t="s">
        <v>77</v>
      </c>
      <c r="B20" s="224"/>
      <c r="C20" s="238" t="s">
        <v>80</v>
      </c>
      <c r="D20" s="226" t="s">
        <v>51</v>
      </c>
      <c r="E20" s="528"/>
      <c r="F20" s="228"/>
      <c r="G20" s="236">
        <f>G94</f>
        <v>0</v>
      </c>
      <c r="H20" s="230"/>
    </row>
    <row r="21" spans="1:8" ht="15">
      <c r="A21" s="527" t="s">
        <v>486</v>
      </c>
      <c r="B21" s="569"/>
      <c r="C21" s="242" t="s">
        <v>82</v>
      </c>
      <c r="D21" s="243" t="s">
        <v>51</v>
      </c>
      <c r="E21" s="535"/>
      <c r="F21" s="245"/>
      <c r="G21" s="240">
        <f>'[1]VV EL silnoproud NB 260'!C29</f>
        <v>0</v>
      </c>
      <c r="H21" s="588"/>
    </row>
    <row r="22" spans="1:8" ht="15">
      <c r="A22" s="527" t="s">
        <v>81</v>
      </c>
      <c r="B22" s="224"/>
      <c r="C22" s="239" t="s">
        <v>84</v>
      </c>
      <c r="D22" s="226" t="s">
        <v>51</v>
      </c>
      <c r="E22" s="528"/>
      <c r="F22" s="228"/>
      <c r="G22" s="240">
        <f>'[1]VV EL slaboproud NB 260'!G5</f>
        <v>0</v>
      </c>
      <c r="H22" s="241"/>
    </row>
    <row r="23" spans="1:8" ht="15">
      <c r="A23" s="527" t="s">
        <v>83</v>
      </c>
      <c r="B23" s="224"/>
      <c r="C23" s="239"/>
      <c r="D23" s="226"/>
      <c r="E23" s="528"/>
      <c r="F23" s="228"/>
      <c r="G23" s="240"/>
      <c r="H23" s="241"/>
    </row>
    <row r="24" spans="1:8" ht="15">
      <c r="A24" s="527" t="s">
        <v>85</v>
      </c>
      <c r="B24" s="224"/>
      <c r="C24" s="246"/>
      <c r="D24" s="226"/>
      <c r="E24" s="528"/>
      <c r="F24" s="228"/>
      <c r="G24" s="236"/>
      <c r="H24" s="230"/>
    </row>
    <row r="25" spans="1:8" ht="15">
      <c r="A25" s="527" t="s">
        <v>87</v>
      </c>
      <c r="B25" s="224"/>
      <c r="C25" s="233" t="s">
        <v>58</v>
      </c>
      <c r="D25" s="226" t="s">
        <v>51</v>
      </c>
      <c r="E25" s="528"/>
      <c r="F25" s="228"/>
      <c r="G25" s="229">
        <f>SUM(G15:G24)</f>
        <v>0</v>
      </c>
      <c r="H25" s="230"/>
    </row>
    <row r="26" spans="1:8" ht="15">
      <c r="A26" s="527" t="s">
        <v>88</v>
      </c>
      <c r="B26" s="224"/>
      <c r="C26" s="237" t="s">
        <v>59</v>
      </c>
      <c r="D26" s="226"/>
      <c r="E26" s="528"/>
      <c r="F26" s="228"/>
      <c r="G26" s="247"/>
      <c r="H26" s="230"/>
    </row>
    <row r="27" spans="1:8" ht="15">
      <c r="A27" s="527" t="s">
        <v>89</v>
      </c>
      <c r="B27" s="224"/>
      <c r="C27" s="246" t="s">
        <v>60</v>
      </c>
      <c r="D27" s="226" t="s">
        <v>51</v>
      </c>
      <c r="E27" s="528"/>
      <c r="F27" s="228"/>
      <c r="G27" s="236">
        <f>G25*0.025</f>
        <v>0</v>
      </c>
      <c r="H27" s="230"/>
    </row>
    <row r="28" spans="1:8" ht="15">
      <c r="A28" s="527" t="s">
        <v>90</v>
      </c>
      <c r="B28" s="224"/>
      <c r="C28" s="246"/>
      <c r="D28" s="226"/>
      <c r="E28" s="528"/>
      <c r="F28" s="228"/>
      <c r="G28" s="236"/>
      <c r="H28" s="230"/>
    </row>
    <row r="29" spans="1:8" ht="15">
      <c r="A29" s="527" t="s">
        <v>91</v>
      </c>
      <c r="B29" s="224"/>
      <c r="C29" s="246"/>
      <c r="D29" s="226"/>
      <c r="E29" s="528"/>
      <c r="F29" s="228"/>
      <c r="G29" s="236"/>
      <c r="H29" s="230"/>
    </row>
    <row r="30" spans="1:8" ht="15">
      <c r="A30" s="527" t="s">
        <v>92</v>
      </c>
      <c r="B30" s="224"/>
      <c r="C30" s="248" t="s">
        <v>61</v>
      </c>
      <c r="D30" s="226" t="s">
        <v>51</v>
      </c>
      <c r="E30" s="528"/>
      <c r="F30" s="228"/>
      <c r="G30" s="229">
        <f>SUM(G25:G29)</f>
        <v>0</v>
      </c>
      <c r="H30" s="230"/>
    </row>
    <row r="31" spans="1:8" ht="15">
      <c r="A31" s="527" t="s">
        <v>93</v>
      </c>
      <c r="B31" s="224"/>
      <c r="C31" s="246"/>
      <c r="D31" s="226"/>
      <c r="E31" s="528"/>
      <c r="F31" s="228"/>
      <c r="G31" s="236"/>
      <c r="H31" s="230"/>
    </row>
    <row r="32" spans="1:8" ht="15">
      <c r="A32" s="527" t="s">
        <v>94</v>
      </c>
      <c r="B32" s="224"/>
      <c r="C32" s="246"/>
      <c r="D32" s="226"/>
      <c r="E32" s="528"/>
      <c r="F32" s="228"/>
      <c r="G32" s="236"/>
      <c r="H32" s="230"/>
    </row>
    <row r="33" spans="1:8" ht="15">
      <c r="A33" s="527" t="s">
        <v>95</v>
      </c>
      <c r="B33" s="224"/>
      <c r="C33" s="248" t="s">
        <v>62</v>
      </c>
      <c r="D33" s="226" t="s">
        <v>51</v>
      </c>
      <c r="E33" s="528"/>
      <c r="F33" s="228"/>
      <c r="G33" s="236">
        <f>G30*0.21</f>
        <v>0</v>
      </c>
      <c r="H33" s="230"/>
    </row>
    <row r="34" spans="1:8" ht="15">
      <c r="A34" s="527" t="s">
        <v>96</v>
      </c>
      <c r="B34" s="224"/>
      <c r="C34" s="248"/>
      <c r="D34" s="226"/>
      <c r="E34" s="528"/>
      <c r="F34" s="228"/>
      <c r="G34" s="236"/>
      <c r="H34" s="230"/>
    </row>
    <row r="35" spans="1:8" ht="15">
      <c r="A35" s="527" t="s">
        <v>97</v>
      </c>
      <c r="B35" s="224"/>
      <c r="C35" s="233" t="s">
        <v>63</v>
      </c>
      <c r="D35" s="226" t="s">
        <v>51</v>
      </c>
      <c r="E35" s="528"/>
      <c r="F35" s="228"/>
      <c r="G35" s="229">
        <f>SUM(G30:G34)</f>
        <v>0</v>
      </c>
      <c r="H35" s="230"/>
    </row>
    <row r="36" spans="1:8" ht="15">
      <c r="A36" s="478" t="s">
        <v>98</v>
      </c>
      <c r="B36" s="53"/>
      <c r="C36" s="62"/>
      <c r="D36" s="277"/>
      <c r="E36" s="477"/>
      <c r="F36" s="57"/>
      <c r="G36" s="58"/>
      <c r="H36" s="59"/>
    </row>
    <row r="37" spans="1:8" ht="15">
      <c r="A37" s="478" t="s">
        <v>99</v>
      </c>
      <c r="B37" s="53"/>
      <c r="C37" s="62"/>
      <c r="D37" s="277"/>
      <c r="E37" s="477"/>
      <c r="F37" s="57"/>
      <c r="G37" s="58"/>
      <c r="H37" s="59"/>
    </row>
    <row r="38" spans="1:8" ht="15">
      <c r="A38" s="478" t="s">
        <v>100</v>
      </c>
      <c r="B38" s="53"/>
      <c r="C38" s="62"/>
      <c r="D38" s="277"/>
      <c r="E38" s="477"/>
      <c r="F38" s="57"/>
      <c r="G38" s="58"/>
      <c r="H38" s="59"/>
    </row>
    <row r="39" spans="1:8" ht="15">
      <c r="A39" s="478" t="s">
        <v>101</v>
      </c>
      <c r="B39" s="53"/>
      <c r="C39" s="62"/>
      <c r="D39" s="277"/>
      <c r="E39" s="477"/>
      <c r="F39" s="57"/>
      <c r="G39" s="58"/>
      <c r="H39" s="59"/>
    </row>
    <row r="40" spans="1:9" ht="25.5">
      <c r="A40" s="579" t="s">
        <v>102</v>
      </c>
      <c r="B40" s="167" t="s">
        <v>105</v>
      </c>
      <c r="C40" s="167" t="s">
        <v>106</v>
      </c>
      <c r="D40" s="167" t="s">
        <v>107</v>
      </c>
      <c r="E40" s="598" t="s">
        <v>108</v>
      </c>
      <c r="F40" s="168" t="s">
        <v>109</v>
      </c>
      <c r="G40" s="169" t="s">
        <v>110</v>
      </c>
      <c r="H40" s="170" t="s">
        <v>240</v>
      </c>
      <c r="I40" s="143"/>
    </row>
    <row r="41" spans="1:9" ht="102">
      <c r="A41" s="579" t="s">
        <v>103</v>
      </c>
      <c r="B41" s="144"/>
      <c r="C41" s="171" t="s">
        <v>113</v>
      </c>
      <c r="D41" s="145"/>
      <c r="E41" s="578"/>
      <c r="F41" s="147"/>
      <c r="G41" s="155"/>
      <c r="H41" s="149"/>
      <c r="I41" s="143"/>
    </row>
    <row r="42" spans="1:9" ht="26.25">
      <c r="A42" s="579" t="s">
        <v>104</v>
      </c>
      <c r="B42" s="144"/>
      <c r="C42" s="172" t="s">
        <v>115</v>
      </c>
      <c r="D42" s="145"/>
      <c r="E42" s="578"/>
      <c r="F42" s="147"/>
      <c r="G42" s="155"/>
      <c r="H42" s="149"/>
      <c r="I42" s="143"/>
    </row>
    <row r="43" spans="1:9" ht="39">
      <c r="A43" s="579" t="s">
        <v>112</v>
      </c>
      <c r="B43" s="144"/>
      <c r="C43" s="173" t="s">
        <v>117</v>
      </c>
      <c r="D43" s="145"/>
      <c r="E43" s="578"/>
      <c r="F43" s="147"/>
      <c r="G43" s="155"/>
      <c r="H43" s="149"/>
      <c r="I43" s="143"/>
    </row>
    <row r="44" spans="1:9" ht="15">
      <c r="A44" s="579" t="s">
        <v>114</v>
      </c>
      <c r="B44" s="144"/>
      <c r="C44" s="173"/>
      <c r="D44" s="145"/>
      <c r="E44" s="578"/>
      <c r="F44" s="147"/>
      <c r="G44" s="155"/>
      <c r="H44" s="149"/>
      <c r="I44" s="143"/>
    </row>
    <row r="45" spans="1:9" ht="15">
      <c r="A45" s="579" t="s">
        <v>116</v>
      </c>
      <c r="B45" s="144"/>
      <c r="C45" s="174" t="s">
        <v>455</v>
      </c>
      <c r="D45" s="145"/>
      <c r="E45" s="146"/>
      <c r="F45" s="147"/>
      <c r="G45" s="155"/>
      <c r="H45" s="149"/>
      <c r="I45" s="143"/>
    </row>
    <row r="46" spans="1:9" ht="15">
      <c r="A46" s="579" t="s">
        <v>118</v>
      </c>
      <c r="B46" s="144"/>
      <c r="C46" s="174"/>
      <c r="D46" s="145"/>
      <c r="E46" s="146"/>
      <c r="F46" s="147"/>
      <c r="G46" s="155"/>
      <c r="H46" s="149"/>
      <c r="I46" s="143"/>
    </row>
    <row r="47" spans="1:9" ht="15">
      <c r="A47" s="579" t="s">
        <v>119</v>
      </c>
      <c r="B47" s="175"/>
      <c r="C47" s="176" t="s">
        <v>123</v>
      </c>
      <c r="D47" s="177" t="s">
        <v>51</v>
      </c>
      <c r="E47" s="178" t="s">
        <v>124</v>
      </c>
      <c r="F47" s="179"/>
      <c r="G47" s="180">
        <f>SUM(G48:G53)</f>
        <v>0</v>
      </c>
      <c r="H47" s="178"/>
      <c r="I47" s="143"/>
    </row>
    <row r="48" spans="1:9" ht="39">
      <c r="A48" s="579" t="s">
        <v>121</v>
      </c>
      <c r="B48" s="175"/>
      <c r="C48" s="160" t="s">
        <v>241</v>
      </c>
      <c r="D48" s="181" t="s">
        <v>127</v>
      </c>
      <c r="E48" s="162">
        <v>2</v>
      </c>
      <c r="F48" s="179">
        <v>0</v>
      </c>
      <c r="G48" s="182">
        <f aca="true" t="shared" si="0" ref="G48:G53">E48*F48</f>
        <v>0</v>
      </c>
      <c r="H48" s="183"/>
      <c r="I48" s="143"/>
    </row>
    <row r="49" spans="1:9" ht="51.75">
      <c r="A49" s="579" t="s">
        <v>122</v>
      </c>
      <c r="B49" s="184"/>
      <c r="C49" s="160" t="s">
        <v>578</v>
      </c>
      <c r="D49" s="161" t="s">
        <v>130</v>
      </c>
      <c r="E49" s="162">
        <f>5.86*5.4-0.5*0.4*2-(0.15*0.5)*4*2</f>
        <v>30.644000000000005</v>
      </c>
      <c r="F49" s="163">
        <v>0</v>
      </c>
      <c r="G49" s="182">
        <f t="shared" si="0"/>
        <v>0</v>
      </c>
      <c r="H49" s="183"/>
      <c r="I49" s="143"/>
    </row>
    <row r="50" spans="1:9" ht="38.25">
      <c r="A50" s="579" t="s">
        <v>125</v>
      </c>
      <c r="B50" s="184" t="s">
        <v>132</v>
      </c>
      <c r="C50" s="185" t="s">
        <v>579</v>
      </c>
      <c r="D50" s="161" t="s">
        <v>134</v>
      </c>
      <c r="E50" s="162">
        <v>4</v>
      </c>
      <c r="F50" s="163">
        <v>0</v>
      </c>
      <c r="G50" s="182">
        <f t="shared" si="0"/>
        <v>0</v>
      </c>
      <c r="H50" s="183"/>
      <c r="I50" s="143"/>
    </row>
    <row r="51" spans="1:9" ht="63.75">
      <c r="A51" s="579" t="s">
        <v>128</v>
      </c>
      <c r="B51" s="184">
        <v>619996145</v>
      </c>
      <c r="C51" s="185" t="s">
        <v>580</v>
      </c>
      <c r="D51" s="161" t="s">
        <v>130</v>
      </c>
      <c r="E51" s="162">
        <f>2.5*2.1*2+1*2*2</f>
        <v>14.5</v>
      </c>
      <c r="F51" s="163">
        <v>0</v>
      </c>
      <c r="G51" s="182">
        <f t="shared" si="0"/>
        <v>0</v>
      </c>
      <c r="H51" s="183"/>
      <c r="I51" s="143"/>
    </row>
    <row r="52" spans="1:9" ht="26.25">
      <c r="A52" s="579" t="s">
        <v>131</v>
      </c>
      <c r="B52" s="184" t="s">
        <v>495</v>
      </c>
      <c r="C52" s="186" t="s">
        <v>581</v>
      </c>
      <c r="D52" s="161" t="s">
        <v>127</v>
      </c>
      <c r="E52" s="162">
        <v>1</v>
      </c>
      <c r="F52" s="163">
        <v>0</v>
      </c>
      <c r="G52" s="187">
        <f t="shared" si="0"/>
        <v>0</v>
      </c>
      <c r="H52" s="188"/>
      <c r="I52" s="143"/>
    </row>
    <row r="53" spans="1:9" ht="26.25">
      <c r="A53" s="579" t="s">
        <v>135</v>
      </c>
      <c r="B53" s="184" t="s">
        <v>496</v>
      </c>
      <c r="C53" s="186" t="s">
        <v>582</v>
      </c>
      <c r="D53" s="161" t="s">
        <v>127</v>
      </c>
      <c r="E53" s="162">
        <v>1</v>
      </c>
      <c r="F53" s="163">
        <v>0</v>
      </c>
      <c r="G53" s="187">
        <f t="shared" si="0"/>
        <v>0</v>
      </c>
      <c r="H53" s="188"/>
      <c r="I53" s="143"/>
    </row>
    <row r="54" spans="1:9" ht="15">
      <c r="A54" s="579" t="s">
        <v>137</v>
      </c>
      <c r="B54" s="184"/>
      <c r="C54" s="189"/>
      <c r="D54" s="161"/>
      <c r="E54" s="162"/>
      <c r="F54" s="163"/>
      <c r="G54" s="159"/>
      <c r="H54" s="188"/>
      <c r="I54" s="143"/>
    </row>
    <row r="55" spans="1:9" ht="15">
      <c r="A55" s="579" t="s">
        <v>140</v>
      </c>
      <c r="B55" s="184"/>
      <c r="C55" s="189"/>
      <c r="D55" s="161"/>
      <c r="E55" s="162"/>
      <c r="F55" s="163"/>
      <c r="G55" s="159"/>
      <c r="H55" s="188"/>
      <c r="I55" s="143"/>
    </row>
    <row r="56" spans="1:9" ht="15">
      <c r="A56" s="579" t="s">
        <v>143</v>
      </c>
      <c r="B56" s="175"/>
      <c r="C56" s="190" t="s">
        <v>146</v>
      </c>
      <c r="D56" s="177" t="s">
        <v>51</v>
      </c>
      <c r="E56" s="178" t="s">
        <v>124</v>
      </c>
      <c r="F56" s="179"/>
      <c r="G56" s="180">
        <f>SUM(G57:G65)</f>
        <v>0</v>
      </c>
      <c r="H56" s="178">
        <f>SUM(H57:H59)</f>
        <v>0.915</v>
      </c>
      <c r="I56" s="143"/>
    </row>
    <row r="57" spans="1:9" ht="26.25">
      <c r="A57" s="579" t="s">
        <v>144</v>
      </c>
      <c r="B57" s="175">
        <v>974031153</v>
      </c>
      <c r="C57" s="191" t="s">
        <v>243</v>
      </c>
      <c r="D57" s="192" t="s">
        <v>149</v>
      </c>
      <c r="E57" s="183">
        <v>15</v>
      </c>
      <c r="F57" s="179">
        <v>0</v>
      </c>
      <c r="G57" s="193">
        <f>E57*F57</f>
        <v>0</v>
      </c>
      <c r="H57" s="183">
        <f>0.018*E57</f>
        <v>0.26999999999999996</v>
      </c>
      <c r="I57" s="143"/>
    </row>
    <row r="58" spans="1:9" ht="26.25">
      <c r="A58" s="579" t="s">
        <v>145</v>
      </c>
      <c r="B58" s="175">
        <v>974031122</v>
      </c>
      <c r="C58" s="191" t="s">
        <v>244</v>
      </c>
      <c r="D58" s="192" t="s">
        <v>149</v>
      </c>
      <c r="E58" s="183">
        <v>60</v>
      </c>
      <c r="F58" s="179">
        <v>0</v>
      </c>
      <c r="G58" s="193">
        <f>E58*F58</f>
        <v>0</v>
      </c>
      <c r="H58" s="183">
        <f>0.004*E58</f>
        <v>0.24</v>
      </c>
      <c r="I58" s="143"/>
    </row>
    <row r="59" spans="1:9" ht="39">
      <c r="A59" s="579" t="s">
        <v>147</v>
      </c>
      <c r="B59" s="175">
        <v>973031324</v>
      </c>
      <c r="C59" s="191" t="s">
        <v>245</v>
      </c>
      <c r="D59" s="192" t="s">
        <v>127</v>
      </c>
      <c r="E59" s="183">
        <f>14+13</f>
        <v>27</v>
      </c>
      <c r="F59" s="179">
        <v>0</v>
      </c>
      <c r="G59" s="193">
        <f>E59*F59</f>
        <v>0</v>
      </c>
      <c r="H59" s="183">
        <f>0.015*E59</f>
        <v>0.40499999999999997</v>
      </c>
      <c r="I59" s="143"/>
    </row>
    <row r="60" spans="1:9" ht="26.25">
      <c r="A60" s="579" t="s">
        <v>150</v>
      </c>
      <c r="B60" s="175">
        <v>997013151</v>
      </c>
      <c r="C60" s="194" t="s">
        <v>247</v>
      </c>
      <c r="D60" s="195" t="s">
        <v>157</v>
      </c>
      <c r="E60" s="196">
        <f>0.55+0.01+0.03</f>
        <v>0.5900000000000001</v>
      </c>
      <c r="F60" s="197">
        <v>0</v>
      </c>
      <c r="G60" s="182">
        <f>E60*F60</f>
        <v>0</v>
      </c>
      <c r="H60" s="183"/>
      <c r="I60" s="143"/>
    </row>
    <row r="61" spans="1:9" ht="26.25">
      <c r="A61" s="579" t="s">
        <v>152</v>
      </c>
      <c r="B61" s="175"/>
      <c r="C61" s="194" t="s">
        <v>238</v>
      </c>
      <c r="D61" s="195"/>
      <c r="E61" s="196"/>
      <c r="F61" s="197"/>
      <c r="G61" s="182"/>
      <c r="H61" s="183"/>
      <c r="I61" s="143"/>
    </row>
    <row r="62" spans="1:9" ht="26.25">
      <c r="A62" s="579" t="s">
        <v>153</v>
      </c>
      <c r="B62" s="175">
        <v>997013501</v>
      </c>
      <c r="C62" s="194" t="s">
        <v>248</v>
      </c>
      <c r="D62" s="195" t="s">
        <v>157</v>
      </c>
      <c r="E62" s="196">
        <f>E60</f>
        <v>0.5900000000000001</v>
      </c>
      <c r="F62" s="197">
        <v>0</v>
      </c>
      <c r="G62" s="182">
        <f>E62*F62</f>
        <v>0</v>
      </c>
      <c r="H62" s="183"/>
      <c r="I62" s="143"/>
    </row>
    <row r="63" spans="1:9" ht="39">
      <c r="A63" s="579" t="s">
        <v>155</v>
      </c>
      <c r="B63" s="175">
        <v>997013509</v>
      </c>
      <c r="C63" s="194" t="s">
        <v>249</v>
      </c>
      <c r="D63" s="195" t="s">
        <v>157</v>
      </c>
      <c r="E63" s="196">
        <f>E60</f>
        <v>0.5900000000000001</v>
      </c>
      <c r="F63" s="197">
        <v>0</v>
      </c>
      <c r="G63" s="182">
        <f>E63*F63</f>
        <v>0</v>
      </c>
      <c r="H63" s="183"/>
      <c r="I63" s="143"/>
    </row>
    <row r="64" spans="1:9" ht="39">
      <c r="A64" s="579" t="s">
        <v>158</v>
      </c>
      <c r="B64" s="175">
        <v>469973114</v>
      </c>
      <c r="C64" s="194" t="s">
        <v>250</v>
      </c>
      <c r="D64" s="195" t="s">
        <v>157</v>
      </c>
      <c r="E64" s="196">
        <f>0.55+0.03</f>
        <v>0.5800000000000001</v>
      </c>
      <c r="F64" s="197">
        <v>0</v>
      </c>
      <c r="G64" s="182">
        <f>E64*F64</f>
        <v>0</v>
      </c>
      <c r="H64" s="183"/>
      <c r="I64" s="143"/>
    </row>
    <row r="65" spans="1:9" ht="39">
      <c r="A65" s="579" t="s">
        <v>160</v>
      </c>
      <c r="B65" s="175">
        <v>997013813</v>
      </c>
      <c r="C65" s="194" t="s">
        <v>251</v>
      </c>
      <c r="D65" s="195" t="s">
        <v>157</v>
      </c>
      <c r="E65" s="196">
        <v>0.01</v>
      </c>
      <c r="F65" s="197">
        <v>0</v>
      </c>
      <c r="G65" s="182">
        <f>E65*F65</f>
        <v>0</v>
      </c>
      <c r="H65" s="183"/>
      <c r="I65" s="143"/>
    </row>
    <row r="66" spans="1:9" ht="15">
      <c r="A66" s="579" t="s">
        <v>162</v>
      </c>
      <c r="B66" s="198"/>
      <c r="C66" s="199"/>
      <c r="D66" s="200"/>
      <c r="E66" s="201"/>
      <c r="F66" s="202"/>
      <c r="G66" s="203"/>
      <c r="H66" s="204"/>
      <c r="I66" s="143"/>
    </row>
    <row r="67" spans="1:9" ht="15">
      <c r="A67" s="579" t="s">
        <v>164</v>
      </c>
      <c r="B67" s="198"/>
      <c r="C67" s="205" t="s">
        <v>170</v>
      </c>
      <c r="D67" s="177" t="s">
        <v>51</v>
      </c>
      <c r="E67" s="178" t="s">
        <v>124</v>
      </c>
      <c r="F67" s="179"/>
      <c r="G67" s="180">
        <f>SUM(G68:G73)</f>
        <v>0</v>
      </c>
      <c r="H67" s="178">
        <f>SUM(H68:H73)</f>
        <v>1.13755826</v>
      </c>
      <c r="I67" s="143"/>
    </row>
    <row r="68" spans="1:9" ht="26.25">
      <c r="A68" s="579" t="s">
        <v>166</v>
      </c>
      <c r="B68" s="198">
        <v>612135101</v>
      </c>
      <c r="C68" s="199" t="s">
        <v>252</v>
      </c>
      <c r="D68" s="200" t="s">
        <v>130</v>
      </c>
      <c r="E68" s="201">
        <f>0.1*15+0.07*60</f>
        <v>5.7</v>
      </c>
      <c r="F68" s="202">
        <v>0</v>
      </c>
      <c r="G68" s="182">
        <f aca="true" t="shared" si="1" ref="G68:G73">E68*F68</f>
        <v>0</v>
      </c>
      <c r="H68" s="206">
        <f>0.056*E68</f>
        <v>0.31920000000000004</v>
      </c>
      <c r="I68" s="143"/>
    </row>
    <row r="69" spans="1:9" ht="26.25">
      <c r="A69" s="579" t="s">
        <v>168</v>
      </c>
      <c r="B69" s="198">
        <v>612325121</v>
      </c>
      <c r="C69" s="199" t="s">
        <v>253</v>
      </c>
      <c r="D69" s="200" t="s">
        <v>130</v>
      </c>
      <c r="E69" s="201">
        <f>0.15*(15+60)</f>
        <v>11.25</v>
      </c>
      <c r="F69" s="202">
        <v>0</v>
      </c>
      <c r="G69" s="182">
        <f t="shared" si="1"/>
        <v>0</v>
      </c>
      <c r="H69" s="206">
        <f>0.04153*E69</f>
        <v>0.4672125</v>
      </c>
      <c r="I69" s="143"/>
    </row>
    <row r="70" spans="1:9" ht="26.25">
      <c r="A70" s="579" t="s">
        <v>169</v>
      </c>
      <c r="B70" s="198">
        <v>612315222</v>
      </c>
      <c r="C70" s="199" t="s">
        <v>559</v>
      </c>
      <c r="D70" s="200" t="s">
        <v>127</v>
      </c>
      <c r="E70" s="201">
        <v>27</v>
      </c>
      <c r="F70" s="202">
        <v>0</v>
      </c>
      <c r="G70" s="182">
        <f t="shared" si="1"/>
        <v>0</v>
      </c>
      <c r="H70" s="206">
        <f>0.01*E70</f>
        <v>0.27</v>
      </c>
      <c r="I70" s="143"/>
    </row>
    <row r="71" spans="1:9" ht="39">
      <c r="A71" s="579" t="s">
        <v>171</v>
      </c>
      <c r="B71" s="198" t="s">
        <v>178</v>
      </c>
      <c r="C71" s="199" t="s">
        <v>560</v>
      </c>
      <c r="D71" s="200" t="s">
        <v>180</v>
      </c>
      <c r="E71" s="201">
        <v>1</v>
      </c>
      <c r="F71" s="202">
        <v>0</v>
      </c>
      <c r="G71" s="182">
        <f t="shared" si="1"/>
        <v>0</v>
      </c>
      <c r="H71" s="206">
        <f>0.08</f>
        <v>0.08</v>
      </c>
      <c r="I71" s="143"/>
    </row>
    <row r="72" spans="1:9" ht="51.75">
      <c r="A72" s="579" t="s">
        <v>173</v>
      </c>
      <c r="B72" s="198">
        <v>952901111</v>
      </c>
      <c r="C72" s="199" t="s">
        <v>583</v>
      </c>
      <c r="D72" s="200"/>
      <c r="E72" s="201">
        <f>5.86*5.4-0.4*0.5*2-(0.15+0.5)*4</f>
        <v>28.644000000000005</v>
      </c>
      <c r="F72" s="202">
        <v>0</v>
      </c>
      <c r="G72" s="182">
        <f t="shared" si="1"/>
        <v>0</v>
      </c>
      <c r="H72" s="206">
        <f>0.00004*E72</f>
        <v>0.0011457600000000002</v>
      </c>
      <c r="I72" s="143"/>
    </row>
    <row r="73" spans="1:9" ht="15">
      <c r="A73" s="579" t="s">
        <v>175</v>
      </c>
      <c r="B73" s="198">
        <v>998011002</v>
      </c>
      <c r="C73" s="207" t="s">
        <v>254</v>
      </c>
      <c r="D73" s="200" t="s">
        <v>157</v>
      </c>
      <c r="E73" s="201">
        <f>SUM(H68:H70)</f>
        <v>1.0564125</v>
      </c>
      <c r="F73" s="202">
        <v>0</v>
      </c>
      <c r="G73" s="182">
        <f t="shared" si="1"/>
        <v>0</v>
      </c>
      <c r="H73" s="204"/>
      <c r="I73" s="143"/>
    </row>
    <row r="74" spans="1:9" ht="15">
      <c r="A74" s="579" t="s">
        <v>177</v>
      </c>
      <c r="B74" s="198"/>
      <c r="C74" s="207"/>
      <c r="D74" s="200"/>
      <c r="E74" s="201"/>
      <c r="F74" s="202"/>
      <c r="G74" s="182"/>
      <c r="H74" s="204"/>
      <c r="I74" s="143"/>
    </row>
    <row r="75" spans="1:9" ht="15">
      <c r="A75" s="579" t="s">
        <v>181</v>
      </c>
      <c r="B75" s="198"/>
      <c r="C75" s="215" t="s">
        <v>205</v>
      </c>
      <c r="D75" s="177" t="s">
        <v>51</v>
      </c>
      <c r="E75" s="178" t="s">
        <v>124</v>
      </c>
      <c r="F75" s="202"/>
      <c r="G75" s="600">
        <f>SUM(G76:G77)</f>
        <v>0</v>
      </c>
      <c r="H75" s="204"/>
      <c r="I75" s="143"/>
    </row>
    <row r="76" spans="1:9" ht="25.5">
      <c r="A76" s="579" t="s">
        <v>183</v>
      </c>
      <c r="B76" s="198" t="s">
        <v>497</v>
      </c>
      <c r="C76" s="601" t="s">
        <v>584</v>
      </c>
      <c r="D76" s="200" t="s">
        <v>498</v>
      </c>
      <c r="E76" s="201">
        <v>1</v>
      </c>
      <c r="F76" s="202">
        <v>0</v>
      </c>
      <c r="G76" s="182">
        <f>E76*F76</f>
        <v>0</v>
      </c>
      <c r="H76" s="204"/>
      <c r="I76" s="143"/>
    </row>
    <row r="77" spans="1:9" ht="26.25">
      <c r="A77" s="579" t="s">
        <v>185</v>
      </c>
      <c r="B77" s="198">
        <v>998763402</v>
      </c>
      <c r="C77" s="207" t="s">
        <v>585</v>
      </c>
      <c r="D77" s="200" t="s">
        <v>201</v>
      </c>
      <c r="E77" s="201">
        <v>0.0152</v>
      </c>
      <c r="F77" s="202">
        <f>G76</f>
        <v>0</v>
      </c>
      <c r="G77" s="182">
        <f>E77*F77</f>
        <v>0</v>
      </c>
      <c r="H77" s="204"/>
      <c r="I77" s="143"/>
    </row>
    <row r="78" spans="1:9" ht="15">
      <c r="A78" s="579" t="s">
        <v>186</v>
      </c>
      <c r="B78" s="198"/>
      <c r="C78" s="199"/>
      <c r="D78" s="200"/>
      <c r="E78" s="201"/>
      <c r="F78" s="202"/>
      <c r="G78" s="203"/>
      <c r="H78" s="204"/>
      <c r="I78" s="143"/>
    </row>
    <row r="79" spans="1:9" ht="15">
      <c r="A79" s="579" t="s">
        <v>187</v>
      </c>
      <c r="B79" s="198"/>
      <c r="C79" s="205"/>
      <c r="D79" s="208"/>
      <c r="E79" s="209"/>
      <c r="F79" s="202"/>
      <c r="G79" s="210"/>
      <c r="H79" s="204"/>
      <c r="I79" s="143"/>
    </row>
    <row r="80" spans="1:9" ht="15">
      <c r="A80" s="579" t="s">
        <v>190</v>
      </c>
      <c r="B80" s="198"/>
      <c r="C80" s="205" t="s">
        <v>188</v>
      </c>
      <c r="D80" s="200" t="s">
        <v>51</v>
      </c>
      <c r="E80" s="201" t="s">
        <v>189</v>
      </c>
      <c r="F80" s="202"/>
      <c r="G80" s="210">
        <f>SUM(G81:G91)</f>
        <v>0</v>
      </c>
      <c r="H80" s="204"/>
      <c r="I80" s="143"/>
    </row>
    <row r="81" spans="1:9" ht="76.5">
      <c r="A81" s="579" t="s">
        <v>191</v>
      </c>
      <c r="B81" s="198">
        <v>776201812</v>
      </c>
      <c r="C81" s="211" t="s">
        <v>586</v>
      </c>
      <c r="D81" s="200" t="s">
        <v>130</v>
      </c>
      <c r="E81" s="162">
        <f>5.86*5.4-0.4*0.5*2-(0.15+0.5)*4</f>
        <v>28.644000000000005</v>
      </c>
      <c r="F81" s="202">
        <v>0</v>
      </c>
      <c r="G81" s="203">
        <f aca="true" t="shared" si="2" ref="G81:G90">E81*F81</f>
        <v>0</v>
      </c>
      <c r="H81" s="204">
        <f>0.003*E81</f>
        <v>0.08593200000000002</v>
      </c>
      <c r="I81" s="143"/>
    </row>
    <row r="82" spans="1:9" ht="51">
      <c r="A82" s="579" t="s">
        <v>192</v>
      </c>
      <c r="B82" s="198">
        <v>776410811</v>
      </c>
      <c r="C82" s="211" t="s">
        <v>587</v>
      </c>
      <c r="D82" s="200" t="s">
        <v>149</v>
      </c>
      <c r="E82" s="201">
        <f>(5.86+5.4)*2+(0.5*12)</f>
        <v>28.520000000000003</v>
      </c>
      <c r="F82" s="202">
        <v>0</v>
      </c>
      <c r="G82" s="203">
        <f t="shared" si="2"/>
        <v>0</v>
      </c>
      <c r="H82" s="204">
        <f>0.0003*E82</f>
        <v>0.008556</v>
      </c>
      <c r="I82" s="143"/>
    </row>
    <row r="83" spans="1:9" ht="51.75">
      <c r="A83" s="579" t="s">
        <v>193</v>
      </c>
      <c r="B83" s="198">
        <v>776991821</v>
      </c>
      <c r="C83" s="199" t="s">
        <v>588</v>
      </c>
      <c r="D83" s="200" t="s">
        <v>130</v>
      </c>
      <c r="E83" s="201">
        <f>E81</f>
        <v>28.644000000000005</v>
      </c>
      <c r="F83" s="202">
        <v>0</v>
      </c>
      <c r="G83" s="203">
        <f t="shared" si="2"/>
        <v>0</v>
      </c>
      <c r="H83" s="204">
        <v>0</v>
      </c>
      <c r="I83" s="143"/>
    </row>
    <row r="84" spans="1:9" ht="38.25">
      <c r="A84" s="579" t="s">
        <v>194</v>
      </c>
      <c r="B84" s="198">
        <v>776111115</v>
      </c>
      <c r="C84" s="211" t="s">
        <v>255</v>
      </c>
      <c r="D84" s="200" t="s">
        <v>130</v>
      </c>
      <c r="E84" s="201">
        <f>E81</f>
        <v>28.644000000000005</v>
      </c>
      <c r="F84" s="202">
        <v>0</v>
      </c>
      <c r="G84" s="203">
        <f t="shared" si="2"/>
        <v>0</v>
      </c>
      <c r="H84" s="204"/>
      <c r="I84" s="143"/>
    </row>
    <row r="85" spans="1:9" ht="38.25">
      <c r="A85" s="579" t="s">
        <v>195</v>
      </c>
      <c r="B85" s="198">
        <v>776121511</v>
      </c>
      <c r="C85" s="212" t="s">
        <v>256</v>
      </c>
      <c r="D85" s="200" t="s">
        <v>130</v>
      </c>
      <c r="E85" s="201">
        <f>E81</f>
        <v>28.644000000000005</v>
      </c>
      <c r="F85" s="202">
        <v>0</v>
      </c>
      <c r="G85" s="203">
        <f t="shared" si="2"/>
        <v>0</v>
      </c>
      <c r="H85" s="204"/>
      <c r="I85" s="143"/>
    </row>
    <row r="86" spans="1:9" ht="64.5">
      <c r="A86" s="579" t="s">
        <v>196</v>
      </c>
      <c r="B86" s="198">
        <v>776141112</v>
      </c>
      <c r="C86" s="199" t="s">
        <v>257</v>
      </c>
      <c r="D86" s="200" t="s">
        <v>130</v>
      </c>
      <c r="E86" s="201">
        <f>E81</f>
        <v>28.644000000000005</v>
      </c>
      <c r="F86" s="202">
        <v>0</v>
      </c>
      <c r="G86" s="203">
        <f t="shared" si="2"/>
        <v>0</v>
      </c>
      <c r="H86" s="204"/>
      <c r="I86" s="143"/>
    </row>
    <row r="87" spans="1:9" ht="39">
      <c r="A87" s="579" t="s">
        <v>197</v>
      </c>
      <c r="B87" s="198">
        <v>776221221</v>
      </c>
      <c r="C87" s="199" t="s">
        <v>589</v>
      </c>
      <c r="D87" s="200" t="s">
        <v>130</v>
      </c>
      <c r="E87" s="201">
        <f>E81</f>
        <v>28.644000000000005</v>
      </c>
      <c r="F87" s="202">
        <v>0</v>
      </c>
      <c r="G87" s="203">
        <f t="shared" si="2"/>
        <v>0</v>
      </c>
      <c r="H87" s="204"/>
      <c r="I87" s="143"/>
    </row>
    <row r="88" spans="1:9" ht="26.25">
      <c r="A88" s="579" t="s">
        <v>198</v>
      </c>
      <c r="B88" s="198" t="s">
        <v>178</v>
      </c>
      <c r="C88" s="199" t="s">
        <v>590</v>
      </c>
      <c r="D88" s="200" t="s">
        <v>130</v>
      </c>
      <c r="E88" s="201">
        <f>28.644*1.09</f>
        <v>31.22196</v>
      </c>
      <c r="F88" s="202">
        <v>0</v>
      </c>
      <c r="G88" s="203">
        <f t="shared" si="2"/>
        <v>0</v>
      </c>
      <c r="H88" s="204"/>
      <c r="I88" s="143"/>
    </row>
    <row r="89" spans="1:9" ht="26.25">
      <c r="A89" s="579" t="s">
        <v>199</v>
      </c>
      <c r="B89" s="198">
        <v>776421111</v>
      </c>
      <c r="C89" s="199" t="s">
        <v>591</v>
      </c>
      <c r="D89" s="200" t="s">
        <v>149</v>
      </c>
      <c r="E89" s="201">
        <f>(5.86+5.4)*2+(0.5*12)</f>
        <v>28.520000000000003</v>
      </c>
      <c r="F89" s="202">
        <v>0</v>
      </c>
      <c r="G89" s="203">
        <f t="shared" si="2"/>
        <v>0</v>
      </c>
      <c r="H89" s="204"/>
      <c r="I89" s="143"/>
    </row>
    <row r="90" spans="1:9" ht="15">
      <c r="A90" s="579" t="s">
        <v>200</v>
      </c>
      <c r="B90" s="198" t="s">
        <v>178</v>
      </c>
      <c r="C90" s="199" t="s">
        <v>259</v>
      </c>
      <c r="D90" s="200" t="s">
        <v>149</v>
      </c>
      <c r="E90" s="201">
        <f>E89*1.09</f>
        <v>31.086800000000007</v>
      </c>
      <c r="F90" s="202">
        <v>0</v>
      </c>
      <c r="G90" s="203">
        <f t="shared" si="2"/>
        <v>0</v>
      </c>
      <c r="H90" s="204"/>
      <c r="I90" s="143"/>
    </row>
    <row r="91" spans="1:9" ht="15">
      <c r="A91" s="579" t="s">
        <v>202</v>
      </c>
      <c r="B91" s="198">
        <v>998776202</v>
      </c>
      <c r="C91" s="199" t="s">
        <v>260</v>
      </c>
      <c r="D91" s="200" t="s">
        <v>201</v>
      </c>
      <c r="E91" s="201">
        <v>0.0038</v>
      </c>
      <c r="F91" s="202">
        <f>SUM(G81:G90)</f>
        <v>0</v>
      </c>
      <c r="G91" s="203">
        <f>E91*F91</f>
        <v>0</v>
      </c>
      <c r="H91" s="204"/>
      <c r="I91" s="143"/>
    </row>
    <row r="92" spans="1:9" ht="15">
      <c r="A92" s="579" t="s">
        <v>203</v>
      </c>
      <c r="B92" s="198"/>
      <c r="C92" s="199"/>
      <c r="D92" s="200"/>
      <c r="E92" s="201"/>
      <c r="F92" s="202"/>
      <c r="G92" s="203"/>
      <c r="H92" s="204"/>
      <c r="I92" s="143"/>
    </row>
    <row r="93" spans="1:9" ht="15">
      <c r="A93" s="579" t="s">
        <v>204</v>
      </c>
      <c r="B93" s="198"/>
      <c r="C93" s="199"/>
      <c r="D93" s="200"/>
      <c r="E93" s="201"/>
      <c r="F93" s="202"/>
      <c r="G93" s="203"/>
      <c r="H93" s="204"/>
      <c r="I93" s="143"/>
    </row>
    <row r="94" spans="1:9" ht="15">
      <c r="A94" s="579" t="s">
        <v>207</v>
      </c>
      <c r="B94" s="198"/>
      <c r="C94" s="205" t="s">
        <v>229</v>
      </c>
      <c r="D94" s="208" t="s">
        <v>51</v>
      </c>
      <c r="E94" s="209" t="s">
        <v>124</v>
      </c>
      <c r="F94" s="202"/>
      <c r="G94" s="210">
        <f>SUM(G95:G98)</f>
        <v>0</v>
      </c>
      <c r="H94" s="204"/>
      <c r="I94" s="143"/>
    </row>
    <row r="95" spans="1:9" ht="63.75">
      <c r="A95" s="579" t="s">
        <v>209</v>
      </c>
      <c r="B95" s="198">
        <v>784121001</v>
      </c>
      <c r="C95" s="214" t="s">
        <v>592</v>
      </c>
      <c r="D95" s="200" t="s">
        <v>130</v>
      </c>
      <c r="E95" s="201">
        <f>(5.86+5.4)*2*2.95+28.644</f>
        <v>95.078</v>
      </c>
      <c r="F95" s="202">
        <v>0</v>
      </c>
      <c r="G95" s="203">
        <f>E95*F95</f>
        <v>0</v>
      </c>
      <c r="H95" s="204">
        <f>0.0003*E95</f>
        <v>0.028523399999999997</v>
      </c>
      <c r="I95" s="143"/>
    </row>
    <row r="96" spans="1:9" ht="51">
      <c r="A96" s="579" t="s">
        <v>210</v>
      </c>
      <c r="B96" s="198">
        <v>784111001</v>
      </c>
      <c r="C96" s="214" t="s">
        <v>266</v>
      </c>
      <c r="D96" s="200" t="s">
        <v>130</v>
      </c>
      <c r="E96" s="201">
        <f>E95</f>
        <v>95.078</v>
      </c>
      <c r="F96" s="202">
        <v>0</v>
      </c>
      <c r="G96" s="203">
        <f>E96*F96</f>
        <v>0</v>
      </c>
      <c r="H96" s="204">
        <v>0</v>
      </c>
      <c r="I96" s="143"/>
    </row>
    <row r="97" spans="1:9" ht="38.25">
      <c r="A97" s="579" t="s">
        <v>211</v>
      </c>
      <c r="B97" s="198">
        <v>784181101</v>
      </c>
      <c r="C97" s="211" t="s">
        <v>267</v>
      </c>
      <c r="D97" s="200" t="s">
        <v>130</v>
      </c>
      <c r="E97" s="201">
        <f>E96</f>
        <v>95.078</v>
      </c>
      <c r="F97" s="202">
        <v>0</v>
      </c>
      <c r="G97" s="203">
        <f>E97*F97</f>
        <v>0</v>
      </c>
      <c r="H97" s="204"/>
      <c r="I97" s="143"/>
    </row>
    <row r="98" spans="1:9" ht="63.75">
      <c r="A98" s="579" t="s">
        <v>212</v>
      </c>
      <c r="B98" s="198">
        <v>784221101</v>
      </c>
      <c r="C98" s="214" t="s">
        <v>593</v>
      </c>
      <c r="D98" s="200" t="s">
        <v>130</v>
      </c>
      <c r="E98" s="201">
        <f>E95</f>
        <v>95.078</v>
      </c>
      <c r="F98" s="216">
        <v>0</v>
      </c>
      <c r="G98" s="203">
        <f>E98*F98</f>
        <v>0</v>
      </c>
      <c r="H98" s="204"/>
      <c r="I98" s="143"/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L20" sqref="L20"/>
    </sheetView>
  </sheetViews>
  <sheetFormatPr defaultColWidth="9.140625" defaultRowHeight="15"/>
  <cols>
    <col min="1" max="1" width="17.57421875" style="0" customWidth="1"/>
    <col min="2" max="2" width="58.7109375" style="0" customWidth="1"/>
    <col min="4" max="4" width="10.28125" style="0" customWidth="1"/>
    <col min="5" max="5" width="13.7109375" style="0" customWidth="1"/>
    <col min="6" max="6" width="14.421875" style="0" customWidth="1"/>
    <col min="7" max="7" width="14.140625" style="0" customWidth="1"/>
    <col min="8" max="8" width="18.5742187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484" t="s">
        <v>315</v>
      </c>
      <c r="B2" s="485"/>
      <c r="C2" s="485"/>
      <c r="D2" s="485"/>
      <c r="E2" s="485"/>
      <c r="F2" s="485"/>
      <c r="G2" s="486"/>
      <c r="H2" s="486"/>
    </row>
    <row r="3" spans="1:8" ht="16.5">
      <c r="A3" s="487" t="s">
        <v>316</v>
      </c>
      <c r="B3" s="488" t="s">
        <v>317</v>
      </c>
      <c r="C3" s="487" t="s">
        <v>127</v>
      </c>
      <c r="D3" s="487">
        <v>14</v>
      </c>
      <c r="E3" s="314">
        <v>0</v>
      </c>
      <c r="F3" s="489">
        <f aca="true" t="shared" si="0" ref="F3:F8">D3*E3</f>
        <v>0</v>
      </c>
      <c r="G3" s="314">
        <v>0</v>
      </c>
      <c r="H3" s="489">
        <f aca="true" t="shared" si="1" ref="H3:H8">D3*G3</f>
        <v>0</v>
      </c>
    </row>
    <row r="4" spans="1:8" ht="16.5">
      <c r="A4" s="487" t="s">
        <v>318</v>
      </c>
      <c r="B4" s="488" t="s">
        <v>319</v>
      </c>
      <c r="C4" s="487" t="s">
        <v>127</v>
      </c>
      <c r="D4" s="487">
        <v>10</v>
      </c>
      <c r="E4" s="314">
        <v>0</v>
      </c>
      <c r="F4" s="489">
        <f t="shared" si="0"/>
        <v>0</v>
      </c>
      <c r="G4" s="314">
        <v>0</v>
      </c>
      <c r="H4" s="489">
        <f t="shared" si="1"/>
        <v>0</v>
      </c>
    </row>
    <row r="5" spans="1:8" ht="16.5">
      <c r="A5" s="487" t="s">
        <v>320</v>
      </c>
      <c r="B5" s="488" t="s">
        <v>321</v>
      </c>
      <c r="C5" s="487" t="s">
        <v>127</v>
      </c>
      <c r="D5" s="487">
        <v>4</v>
      </c>
      <c r="E5" s="314">
        <v>0</v>
      </c>
      <c r="F5" s="489">
        <f t="shared" si="0"/>
        <v>0</v>
      </c>
      <c r="G5" s="314">
        <v>0</v>
      </c>
      <c r="H5" s="489">
        <f t="shared" si="1"/>
        <v>0</v>
      </c>
    </row>
    <row r="6" spans="1:8" ht="16.5">
      <c r="A6" s="487" t="s">
        <v>322</v>
      </c>
      <c r="B6" s="488" t="s">
        <v>323</v>
      </c>
      <c r="C6" s="487" t="s">
        <v>180</v>
      </c>
      <c r="D6" s="487">
        <v>1</v>
      </c>
      <c r="E6" s="314">
        <v>0</v>
      </c>
      <c r="F6" s="489">
        <f t="shared" si="0"/>
        <v>0</v>
      </c>
      <c r="G6" s="314"/>
      <c r="H6" s="489">
        <f t="shared" si="1"/>
        <v>0</v>
      </c>
    </row>
    <row r="7" spans="1:8" ht="16.5">
      <c r="A7" s="487" t="s">
        <v>324</v>
      </c>
      <c r="B7" s="488" t="s">
        <v>325</v>
      </c>
      <c r="C7" s="487" t="s">
        <v>180</v>
      </c>
      <c r="D7" s="487">
        <v>1</v>
      </c>
      <c r="E7" s="314"/>
      <c r="F7" s="489">
        <f t="shared" si="0"/>
        <v>0</v>
      </c>
      <c r="G7" s="314">
        <v>0</v>
      </c>
      <c r="H7" s="489">
        <f t="shared" si="1"/>
        <v>0</v>
      </c>
    </row>
    <row r="8" spans="1:8" ht="16.5">
      <c r="A8" s="487" t="s">
        <v>326</v>
      </c>
      <c r="B8" s="488" t="s">
        <v>327</v>
      </c>
      <c r="C8" s="487" t="s">
        <v>180</v>
      </c>
      <c r="D8" s="487">
        <v>1</v>
      </c>
      <c r="E8" s="314"/>
      <c r="F8" s="489">
        <f t="shared" si="0"/>
        <v>0</v>
      </c>
      <c r="G8" s="314">
        <v>0</v>
      </c>
      <c r="H8" s="489">
        <f t="shared" si="1"/>
        <v>0</v>
      </c>
    </row>
    <row r="9" spans="1:8" ht="16.5">
      <c r="A9" s="487"/>
      <c r="B9" s="490" t="s">
        <v>328</v>
      </c>
      <c r="C9" s="491"/>
      <c r="D9" s="491"/>
      <c r="E9" s="495"/>
      <c r="F9" s="492">
        <f>SUM(F3:F8)</f>
        <v>0</v>
      </c>
      <c r="G9" s="492"/>
      <c r="H9" s="492">
        <f>SUM(H3:H8)</f>
        <v>0</v>
      </c>
    </row>
    <row r="10" spans="1:8" ht="15.75">
      <c r="A10" s="484" t="s">
        <v>329</v>
      </c>
      <c r="B10" s="485"/>
      <c r="C10" s="485"/>
      <c r="D10" s="485"/>
      <c r="E10" s="485"/>
      <c r="F10" s="485"/>
      <c r="G10" s="486"/>
      <c r="H10" s="486"/>
    </row>
    <row r="11" spans="1:8" ht="16.5">
      <c r="A11" s="487" t="s">
        <v>330</v>
      </c>
      <c r="B11" s="488" t="s">
        <v>331</v>
      </c>
      <c r="C11" s="487" t="s">
        <v>127</v>
      </c>
      <c r="D11" s="487">
        <v>3</v>
      </c>
      <c r="E11" s="314">
        <v>0</v>
      </c>
      <c r="F11" s="489">
        <f>D11*E11</f>
        <v>0</v>
      </c>
      <c r="G11" s="314">
        <v>0</v>
      </c>
      <c r="H11" s="489">
        <f>D11*G11</f>
        <v>0</v>
      </c>
    </row>
    <row r="12" spans="1:8" ht="16.5">
      <c r="A12" s="487" t="s">
        <v>332</v>
      </c>
      <c r="B12" s="488" t="s">
        <v>325</v>
      </c>
      <c r="C12" s="493" t="s">
        <v>180</v>
      </c>
      <c r="D12" s="487">
        <v>1</v>
      </c>
      <c r="E12" s="314"/>
      <c r="F12" s="489">
        <f>D12*E12</f>
        <v>0</v>
      </c>
      <c r="G12" s="314">
        <v>0</v>
      </c>
      <c r="H12" s="489">
        <f>D12*G12</f>
        <v>0</v>
      </c>
    </row>
    <row r="13" spans="1:8" ht="16.5">
      <c r="A13" s="487" t="s">
        <v>333</v>
      </c>
      <c r="B13" s="488" t="s">
        <v>334</v>
      </c>
      <c r="C13" s="493" t="s">
        <v>180</v>
      </c>
      <c r="D13" s="487">
        <v>1</v>
      </c>
      <c r="E13" s="314">
        <v>0</v>
      </c>
      <c r="F13" s="489">
        <f>D13*E13</f>
        <v>0</v>
      </c>
      <c r="G13" s="314">
        <v>0</v>
      </c>
      <c r="H13" s="489">
        <f>D13*G13</f>
        <v>0</v>
      </c>
    </row>
    <row r="14" spans="1:8" ht="15.75">
      <c r="A14" s="494"/>
      <c r="B14" s="490" t="s">
        <v>335</v>
      </c>
      <c r="C14" s="491"/>
      <c r="D14" s="491"/>
      <c r="E14" s="495"/>
      <c r="F14" s="492">
        <f>SUM(F11:F13)</f>
        <v>0</v>
      </c>
      <c r="G14" s="492"/>
      <c r="H14" s="492">
        <f>SUM(H11:H13)</f>
        <v>0</v>
      </c>
    </row>
    <row r="15" spans="1:8" ht="15.75">
      <c r="A15" s="484" t="s">
        <v>336</v>
      </c>
      <c r="B15" s="485"/>
      <c r="C15" s="485"/>
      <c r="D15" s="485"/>
      <c r="E15" s="485"/>
      <c r="F15" s="485"/>
      <c r="G15" s="486"/>
      <c r="H15" s="486"/>
    </row>
    <row r="16" spans="1:8" ht="16.5">
      <c r="A16" s="487" t="s">
        <v>337</v>
      </c>
      <c r="B16" s="488" t="s">
        <v>338</v>
      </c>
      <c r="C16" s="487" t="s">
        <v>339</v>
      </c>
      <c r="D16" s="487">
        <v>160</v>
      </c>
      <c r="E16" s="314">
        <v>0</v>
      </c>
      <c r="F16" s="489">
        <f aca="true" t="shared" si="2" ref="F16:F23">D16*E16</f>
        <v>0</v>
      </c>
      <c r="G16" s="314">
        <v>0</v>
      </c>
      <c r="H16" s="489">
        <f aca="true" t="shared" si="3" ref="H16:H23">D16*G16</f>
        <v>0</v>
      </c>
    </row>
    <row r="17" spans="1:8" ht="16.5">
      <c r="A17" s="487" t="s">
        <v>340</v>
      </c>
      <c r="B17" s="488" t="s">
        <v>341</v>
      </c>
      <c r="C17" s="487" t="s">
        <v>339</v>
      </c>
      <c r="D17" s="487">
        <v>40</v>
      </c>
      <c r="E17" s="314">
        <v>0</v>
      </c>
      <c r="F17" s="489">
        <f t="shared" si="2"/>
        <v>0</v>
      </c>
      <c r="G17" s="314">
        <v>0</v>
      </c>
      <c r="H17" s="489">
        <f t="shared" si="3"/>
        <v>0</v>
      </c>
    </row>
    <row r="18" spans="1:8" ht="16.5">
      <c r="A18" s="487" t="s">
        <v>342</v>
      </c>
      <c r="B18" s="488" t="s">
        <v>343</v>
      </c>
      <c r="C18" s="487" t="s">
        <v>339</v>
      </c>
      <c r="D18" s="487">
        <v>30</v>
      </c>
      <c r="E18" s="314">
        <v>0</v>
      </c>
      <c r="F18" s="489">
        <f t="shared" si="2"/>
        <v>0</v>
      </c>
      <c r="G18" s="314">
        <v>0</v>
      </c>
      <c r="H18" s="489">
        <f t="shared" si="3"/>
        <v>0</v>
      </c>
    </row>
    <row r="19" spans="1:8" ht="16.5">
      <c r="A19" s="487" t="s">
        <v>344</v>
      </c>
      <c r="B19" s="488" t="s">
        <v>345</v>
      </c>
      <c r="C19" s="487" t="s">
        <v>339</v>
      </c>
      <c r="D19" s="487">
        <v>2</v>
      </c>
      <c r="E19" s="314">
        <v>0</v>
      </c>
      <c r="F19" s="489">
        <f t="shared" si="2"/>
        <v>0</v>
      </c>
      <c r="G19" s="314">
        <v>0</v>
      </c>
      <c r="H19" s="489">
        <f t="shared" si="3"/>
        <v>0</v>
      </c>
    </row>
    <row r="20" spans="1:8" ht="16.5">
      <c r="A20" s="487" t="s">
        <v>346</v>
      </c>
      <c r="B20" s="488" t="s">
        <v>347</v>
      </c>
      <c r="C20" s="487" t="s">
        <v>127</v>
      </c>
      <c r="D20" s="487">
        <v>3</v>
      </c>
      <c r="E20" s="314">
        <v>0</v>
      </c>
      <c r="F20" s="489">
        <f t="shared" si="2"/>
        <v>0</v>
      </c>
      <c r="G20" s="314">
        <v>0</v>
      </c>
      <c r="H20" s="489">
        <f t="shared" si="3"/>
        <v>0</v>
      </c>
    </row>
    <row r="21" spans="1:8" ht="16.5">
      <c r="A21" s="487" t="s">
        <v>348</v>
      </c>
      <c r="B21" s="488" t="s">
        <v>349</v>
      </c>
      <c r="C21" s="493" t="s">
        <v>180</v>
      </c>
      <c r="D21" s="487">
        <v>1</v>
      </c>
      <c r="E21" s="314">
        <v>0</v>
      </c>
      <c r="F21" s="489">
        <f t="shared" si="2"/>
        <v>0</v>
      </c>
      <c r="G21" s="314"/>
      <c r="H21" s="489">
        <f t="shared" si="3"/>
        <v>0</v>
      </c>
    </row>
    <row r="22" spans="1:8" ht="16.5">
      <c r="A22" s="487" t="s">
        <v>350</v>
      </c>
      <c r="B22" s="488" t="s">
        <v>351</v>
      </c>
      <c r="C22" s="493" t="s">
        <v>180</v>
      </c>
      <c r="D22" s="487">
        <v>1</v>
      </c>
      <c r="E22" s="314"/>
      <c r="F22" s="489">
        <f t="shared" si="2"/>
        <v>0</v>
      </c>
      <c r="G22" s="314">
        <v>0</v>
      </c>
      <c r="H22" s="489">
        <f t="shared" si="3"/>
        <v>0</v>
      </c>
    </row>
    <row r="23" spans="1:8" ht="16.5">
      <c r="A23" s="487" t="s">
        <v>352</v>
      </c>
      <c r="B23" s="488" t="s">
        <v>325</v>
      </c>
      <c r="C23" s="493" t="s">
        <v>180</v>
      </c>
      <c r="D23" s="487">
        <v>1</v>
      </c>
      <c r="E23" s="314"/>
      <c r="F23" s="489">
        <f t="shared" si="2"/>
        <v>0</v>
      </c>
      <c r="G23" s="314">
        <v>0</v>
      </c>
      <c r="H23" s="489">
        <f t="shared" si="3"/>
        <v>0</v>
      </c>
    </row>
    <row r="24" spans="1:8" ht="16.5">
      <c r="A24" s="494"/>
      <c r="B24" s="490" t="s">
        <v>353</v>
      </c>
      <c r="C24" s="491"/>
      <c r="D24" s="491"/>
      <c r="E24" s="495"/>
      <c r="F24" s="492">
        <f>SUM(F16:F23)</f>
        <v>0</v>
      </c>
      <c r="G24" s="489"/>
      <c r="H24" s="492">
        <f>SUM(H16:H23)</f>
        <v>0</v>
      </c>
    </row>
    <row r="25" spans="1:8" ht="15.75">
      <c r="A25" s="484" t="s">
        <v>354</v>
      </c>
      <c r="B25" s="485"/>
      <c r="C25" s="485"/>
      <c r="D25" s="485"/>
      <c r="E25" s="485"/>
      <c r="F25" s="485"/>
      <c r="G25" s="496"/>
      <c r="H25" s="496"/>
    </row>
    <row r="26" spans="1:8" ht="16.5">
      <c r="A26" s="487" t="s">
        <v>355</v>
      </c>
      <c r="B26" s="488" t="s">
        <v>356</v>
      </c>
      <c r="C26" s="487" t="s">
        <v>127</v>
      </c>
      <c r="D26" s="487">
        <v>1</v>
      </c>
      <c r="E26" s="325">
        <v>0</v>
      </c>
      <c r="F26" s="489">
        <f>D26*E26</f>
        <v>0</v>
      </c>
      <c r="G26" s="325"/>
      <c r="H26" s="489">
        <f>D26*G26</f>
        <v>0</v>
      </c>
    </row>
    <row r="27" spans="1:8" ht="15.75">
      <c r="A27" s="497"/>
      <c r="B27" s="498" t="s">
        <v>357</v>
      </c>
      <c r="C27" s="499"/>
      <c r="D27" s="499"/>
      <c r="E27" s="500"/>
      <c r="F27" s="501">
        <f>+F24+F14+F9+F26</f>
        <v>0</v>
      </c>
      <c r="G27" s="497"/>
      <c r="H27" s="501">
        <f>+H24+H14+H9+H26</f>
        <v>0</v>
      </c>
    </row>
    <row r="28" spans="1:8" ht="16.5">
      <c r="A28" s="502"/>
      <c r="B28" s="502"/>
      <c r="C28" s="502"/>
      <c r="D28" s="502"/>
      <c r="E28" s="502"/>
      <c r="F28" s="503" t="s">
        <v>358</v>
      </c>
      <c r="G28" s="504"/>
      <c r="H28" s="505" t="s">
        <v>359</v>
      </c>
    </row>
    <row r="29" spans="1:8" ht="21">
      <c r="A29" s="506" t="s">
        <v>357</v>
      </c>
      <c r="B29" s="506"/>
      <c r="C29" s="507">
        <f>SUM(F27,H27)</f>
        <v>0</v>
      </c>
      <c r="D29" s="507"/>
      <c r="E29" s="507"/>
      <c r="F29" s="502"/>
      <c r="G29" s="504"/>
      <c r="H29" s="509"/>
    </row>
    <row r="30" spans="1:8" ht="16.5">
      <c r="A30" s="502"/>
      <c r="B30" s="502"/>
      <c r="C30" s="502"/>
      <c r="D30" s="502"/>
      <c r="E30" s="502"/>
      <c r="F30" s="502"/>
      <c r="G30" s="504"/>
      <c r="H30" s="505"/>
    </row>
  </sheetData>
  <mergeCells count="6">
    <mergeCell ref="A2:H2"/>
    <mergeCell ref="A10:H10"/>
    <mergeCell ref="A15:H15"/>
    <mergeCell ref="A25:H25"/>
    <mergeCell ref="A29:B29"/>
    <mergeCell ref="C29:E2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N28" sqref="N28"/>
    </sheetView>
  </sheetViews>
  <sheetFormatPr defaultColWidth="9.140625" defaultRowHeight="15"/>
  <cols>
    <col min="3" max="3" width="69.140625" style="0" customWidth="1"/>
    <col min="6" max="6" width="10.7109375" style="0" customWidth="1"/>
    <col min="7" max="7" width="17.5742187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503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SUM(G12:G29)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15.7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499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2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2</v>
      </c>
      <c r="F13" s="402">
        <v>0</v>
      </c>
      <c r="G13" s="403">
        <f>F13*E13</f>
        <v>0</v>
      </c>
    </row>
    <row r="14" spans="1:7" ht="33">
      <c r="A14" s="359">
        <v>3</v>
      </c>
      <c r="B14" s="395"/>
      <c r="C14" s="404" t="s">
        <v>372</v>
      </c>
      <c r="D14" s="401" t="s">
        <v>127</v>
      </c>
      <c r="E14" s="359">
        <v>13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2200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700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450</v>
      </c>
      <c r="F19" s="408">
        <v>0</v>
      </c>
      <c r="G19" s="403">
        <f>F19*E19</f>
        <v>0</v>
      </c>
    </row>
    <row r="20" spans="1:7" ht="16.5">
      <c r="A20" s="406"/>
      <c r="B20" s="406"/>
      <c r="C20" s="407"/>
      <c r="D20" s="401"/>
      <c r="E20" s="406"/>
      <c r="F20" s="408"/>
      <c r="G20" s="403"/>
    </row>
    <row r="21" spans="1:7" ht="17.25" thickBot="1">
      <c r="A21" s="395"/>
      <c r="B21" s="409"/>
      <c r="C21" s="407"/>
      <c r="D21" s="401"/>
      <c r="E21" s="401"/>
      <c r="F21" s="408"/>
      <c r="G21" s="403"/>
    </row>
    <row r="22" spans="1:7" ht="17.25" thickBot="1">
      <c r="A22" s="359"/>
      <c r="B22" s="395"/>
      <c r="C22" s="396" t="s">
        <v>377</v>
      </c>
      <c r="D22" s="397"/>
      <c r="E22" s="359"/>
      <c r="F22" s="408"/>
      <c r="G22" s="403"/>
    </row>
    <row r="23" spans="1:7" ht="16.5">
      <c r="A23" s="395">
        <v>7</v>
      </c>
      <c r="B23" s="409"/>
      <c r="C23" s="407" t="s">
        <v>378</v>
      </c>
      <c r="D23" s="401" t="s">
        <v>180</v>
      </c>
      <c r="E23" s="401">
        <v>1</v>
      </c>
      <c r="F23" s="408">
        <v>0</v>
      </c>
      <c r="G23" s="403">
        <f aca="true" t="shared" si="0" ref="G23:G28">F23*E23</f>
        <v>0</v>
      </c>
    </row>
    <row r="24" spans="1:7" ht="16.5">
      <c r="A24" s="395">
        <v>8</v>
      </c>
      <c r="B24" s="409"/>
      <c r="C24" s="407" t="s">
        <v>379</v>
      </c>
      <c r="D24" s="401" t="s">
        <v>180</v>
      </c>
      <c r="E24" s="401">
        <v>1</v>
      </c>
      <c r="F24" s="408">
        <v>0</v>
      </c>
      <c r="G24" s="403">
        <f t="shared" si="0"/>
        <v>0</v>
      </c>
    </row>
    <row r="25" spans="1:7" ht="16.5">
      <c r="A25" s="395">
        <v>9</v>
      </c>
      <c r="B25" s="409"/>
      <c r="C25" s="407" t="s">
        <v>380</v>
      </c>
      <c r="D25" s="401" t="s">
        <v>381</v>
      </c>
      <c r="E25" s="401">
        <v>40</v>
      </c>
      <c r="F25" s="408">
        <v>0</v>
      </c>
      <c r="G25" s="403">
        <f t="shared" si="0"/>
        <v>0</v>
      </c>
    </row>
    <row r="26" spans="1:7" ht="16.5">
      <c r="A26" s="395">
        <v>10</v>
      </c>
      <c r="B26" s="409"/>
      <c r="C26" s="407" t="s">
        <v>382</v>
      </c>
      <c r="D26" s="401" t="s">
        <v>127</v>
      </c>
      <c r="E26" s="401">
        <f>E14*6</f>
        <v>78</v>
      </c>
      <c r="F26" s="408">
        <v>0</v>
      </c>
      <c r="G26" s="403">
        <f t="shared" si="0"/>
        <v>0</v>
      </c>
    </row>
    <row r="27" spans="1:7" ht="16.5">
      <c r="A27" s="395">
        <v>11</v>
      </c>
      <c r="B27" s="409"/>
      <c r="C27" s="407" t="s">
        <v>383</v>
      </c>
      <c r="D27" s="401" t="s">
        <v>127</v>
      </c>
      <c r="E27" s="401">
        <f>E26</f>
        <v>78</v>
      </c>
      <c r="F27" s="408">
        <v>0</v>
      </c>
      <c r="G27" s="403">
        <f t="shared" si="0"/>
        <v>0</v>
      </c>
    </row>
    <row r="28" spans="1:7" ht="16.5">
      <c r="A28" s="395">
        <v>12</v>
      </c>
      <c r="B28" s="409"/>
      <c r="C28" s="407" t="s">
        <v>384</v>
      </c>
      <c r="D28" s="401" t="s">
        <v>180</v>
      </c>
      <c r="E28" s="401">
        <v>1</v>
      </c>
      <c r="F28" s="408">
        <v>0</v>
      </c>
      <c r="G28" s="403">
        <f t="shared" si="0"/>
        <v>0</v>
      </c>
    </row>
    <row r="29" spans="1:7" ht="16.5">
      <c r="A29" s="395"/>
      <c r="B29" s="409"/>
      <c r="C29" s="407"/>
      <c r="D29" s="401"/>
      <c r="E29" s="401"/>
      <c r="F29" s="408"/>
      <c r="G29" s="403"/>
    </row>
  </sheetData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 topLeftCell="A1">
      <selection activeCell="N56" sqref="N56"/>
    </sheetView>
  </sheetViews>
  <sheetFormatPr defaultColWidth="9.140625" defaultRowHeight="15"/>
  <cols>
    <col min="2" max="2" width="10.00390625" style="0" bestFit="1" customWidth="1"/>
    <col min="3" max="3" width="70.57421875" style="0" customWidth="1"/>
    <col min="5" max="8" width="9.28125" style="0" bestFit="1" customWidth="1"/>
  </cols>
  <sheetData>
    <row r="1" spans="1:8" ht="48.75" customHeight="1">
      <c r="A1" s="516"/>
      <c r="B1" s="45"/>
      <c r="C1" s="514" t="s">
        <v>46</v>
      </c>
      <c r="D1" s="50"/>
      <c r="E1" s="475"/>
      <c r="F1" s="47"/>
      <c r="G1" s="48"/>
      <c r="H1" s="49"/>
    </row>
    <row r="2" spans="1:8" ht="15">
      <c r="A2" s="516"/>
      <c r="B2" s="45"/>
      <c r="C2" s="50" t="s">
        <v>32</v>
      </c>
      <c r="D2" s="50"/>
      <c r="E2" s="475"/>
      <c r="F2" s="47"/>
      <c r="G2" s="48"/>
      <c r="H2" s="49"/>
    </row>
    <row r="3" spans="1:8" ht="36.75" customHeight="1">
      <c r="A3" s="516"/>
      <c r="B3" s="45"/>
      <c r="C3" s="515" t="s">
        <v>45</v>
      </c>
      <c r="D3" s="50"/>
      <c r="E3" s="475"/>
      <c r="F3" s="47"/>
      <c r="G3" s="48"/>
      <c r="H3" s="49"/>
    </row>
    <row r="4" spans="1:8" ht="15">
      <c r="A4" s="516"/>
      <c r="B4" s="45"/>
      <c r="C4" s="51"/>
      <c r="D4" s="50"/>
      <c r="E4" s="475"/>
      <c r="F4" s="47"/>
      <c r="G4" s="48"/>
      <c r="H4" s="49"/>
    </row>
    <row r="5" spans="1:8" ht="36" customHeight="1">
      <c r="A5" s="516"/>
      <c r="B5" s="45"/>
      <c r="C5" s="517" t="s">
        <v>57</v>
      </c>
      <c r="D5" s="50"/>
      <c r="E5" s="475"/>
      <c r="F5" s="47"/>
      <c r="G5" s="48"/>
      <c r="H5" s="49"/>
    </row>
    <row r="6" spans="1:8" ht="15">
      <c r="A6" s="476"/>
      <c r="B6" s="53"/>
      <c r="C6" s="54"/>
      <c r="D6" s="277"/>
      <c r="E6" s="477"/>
      <c r="F6" s="57"/>
      <c r="G6" s="58"/>
      <c r="H6" s="59"/>
    </row>
    <row r="7" spans="1:8" ht="15">
      <c r="A7" s="516"/>
      <c r="B7" s="45"/>
      <c r="C7" s="140" t="s">
        <v>33</v>
      </c>
      <c r="D7" s="140"/>
      <c r="E7" s="602"/>
      <c r="F7" s="141"/>
      <c r="G7" s="142"/>
      <c r="H7" s="49"/>
    </row>
    <row r="8" spans="1:8" ht="26.25">
      <c r="A8" s="516"/>
      <c r="B8" s="45"/>
      <c r="C8" s="150" t="s">
        <v>239</v>
      </c>
      <c r="D8" s="140"/>
      <c r="E8" s="602"/>
      <c r="F8" s="141"/>
      <c r="G8" s="142"/>
      <c r="H8" s="49"/>
    </row>
    <row r="9" spans="1:8" ht="15">
      <c r="A9" s="516"/>
      <c r="B9" s="45"/>
      <c r="C9" s="151"/>
      <c r="D9" s="140"/>
      <c r="E9" s="602"/>
      <c r="F9" s="141"/>
      <c r="G9" s="142"/>
      <c r="H9" s="49"/>
    </row>
    <row r="10" spans="1:8" ht="15">
      <c r="A10" s="516"/>
      <c r="B10" s="45"/>
      <c r="C10" s="151"/>
      <c r="D10" s="140"/>
      <c r="E10" s="602"/>
      <c r="F10" s="141"/>
      <c r="G10" s="142"/>
      <c r="H10" s="49"/>
    </row>
    <row r="11" spans="1:8" ht="15">
      <c r="A11" s="516"/>
      <c r="B11" s="45"/>
      <c r="C11" s="151"/>
      <c r="D11" s="140"/>
      <c r="E11" s="602"/>
      <c r="F11" s="141"/>
      <c r="G11" s="142"/>
      <c r="H11" s="49"/>
    </row>
    <row r="12" spans="1:8" ht="15">
      <c r="A12" s="476"/>
      <c r="B12" s="53"/>
      <c r="C12" s="152"/>
      <c r="D12" s="145"/>
      <c r="E12" s="578"/>
      <c r="F12" s="147"/>
      <c r="G12" s="148"/>
      <c r="H12" s="59"/>
    </row>
    <row r="13" spans="1:8" ht="15">
      <c r="A13" s="476"/>
      <c r="B13" s="63"/>
      <c r="C13" s="154" t="s">
        <v>65</v>
      </c>
      <c r="D13" s="145"/>
      <c r="E13" s="578"/>
      <c r="F13" s="147"/>
      <c r="G13" s="155"/>
      <c r="H13" s="59"/>
    </row>
    <row r="14" spans="1:8" ht="15">
      <c r="A14" s="478" t="s">
        <v>66</v>
      </c>
      <c r="B14" s="63"/>
      <c r="C14" s="156" t="s">
        <v>49</v>
      </c>
      <c r="D14" s="145"/>
      <c r="E14" s="578"/>
      <c r="F14" s="147"/>
      <c r="G14" s="155"/>
      <c r="H14" s="59"/>
    </row>
    <row r="15" spans="1:8" ht="15">
      <c r="A15" s="478" t="s">
        <v>67</v>
      </c>
      <c r="B15" s="63"/>
      <c r="C15" s="157" t="s">
        <v>68</v>
      </c>
      <c r="D15" s="145" t="s">
        <v>51</v>
      </c>
      <c r="E15" s="578"/>
      <c r="F15" s="147"/>
      <c r="G15" s="155">
        <f>G47</f>
        <v>0</v>
      </c>
      <c r="H15" s="59"/>
    </row>
    <row r="16" spans="1:8" ht="15">
      <c r="A16" s="478" t="s">
        <v>69</v>
      </c>
      <c r="B16" s="53"/>
      <c r="C16" s="157" t="s">
        <v>467</v>
      </c>
      <c r="D16" s="145" t="s">
        <v>51</v>
      </c>
      <c r="E16" s="578"/>
      <c r="F16" s="147"/>
      <c r="G16" s="155">
        <f>G54</f>
        <v>0</v>
      </c>
      <c r="H16" s="59"/>
    </row>
    <row r="17" spans="1:8" ht="15">
      <c r="A17" s="478" t="s">
        <v>71</v>
      </c>
      <c r="B17" s="53"/>
      <c r="C17" s="157" t="s">
        <v>493</v>
      </c>
      <c r="D17" s="145" t="s">
        <v>51</v>
      </c>
      <c r="E17" s="578"/>
      <c r="F17" s="147"/>
      <c r="G17" s="155">
        <f>G64</f>
        <v>0</v>
      </c>
      <c r="H17" s="59"/>
    </row>
    <row r="18" spans="1:8" ht="15">
      <c r="A18" s="478" t="s">
        <v>73</v>
      </c>
      <c r="B18" s="53"/>
      <c r="C18" s="157" t="s">
        <v>494</v>
      </c>
      <c r="D18" s="145" t="s">
        <v>51</v>
      </c>
      <c r="E18" s="578"/>
      <c r="F18" s="147"/>
      <c r="G18" s="155">
        <f>G73</f>
        <v>0</v>
      </c>
      <c r="H18" s="59"/>
    </row>
    <row r="19" spans="1:8" ht="15">
      <c r="A19" s="478" t="s">
        <v>75</v>
      </c>
      <c r="B19" s="53"/>
      <c r="C19" s="157" t="s">
        <v>80</v>
      </c>
      <c r="D19" s="145" t="s">
        <v>51</v>
      </c>
      <c r="E19" s="578"/>
      <c r="F19" s="147"/>
      <c r="G19" s="155">
        <f>G87</f>
        <v>0</v>
      </c>
      <c r="H19" s="59"/>
    </row>
    <row r="20" spans="1:8" ht="15">
      <c r="A20" s="478" t="s">
        <v>77</v>
      </c>
      <c r="B20" s="53"/>
      <c r="C20" s="157" t="s">
        <v>500</v>
      </c>
      <c r="D20" s="145" t="s">
        <v>51</v>
      </c>
      <c r="E20" s="578"/>
      <c r="F20" s="147"/>
      <c r="G20" s="155">
        <f>G94</f>
        <v>0</v>
      </c>
      <c r="H20" s="59"/>
    </row>
    <row r="21" spans="1:8" ht="15">
      <c r="A21" s="478" t="s">
        <v>486</v>
      </c>
      <c r="B21" s="479"/>
      <c r="C21" s="160" t="s">
        <v>82</v>
      </c>
      <c r="D21" s="161" t="s">
        <v>51</v>
      </c>
      <c r="E21" s="581"/>
      <c r="F21" s="163"/>
      <c r="G21" s="159">
        <f>'[1]VV EL silnoproud SB 126'!C41</f>
        <v>0</v>
      </c>
      <c r="H21" s="512"/>
    </row>
    <row r="22" spans="1:8" ht="15">
      <c r="A22" s="478" t="s">
        <v>81</v>
      </c>
      <c r="B22" s="53"/>
      <c r="C22" s="158" t="s">
        <v>84</v>
      </c>
      <c r="D22" s="145" t="s">
        <v>51</v>
      </c>
      <c r="E22" s="578"/>
      <c r="F22" s="147"/>
      <c r="G22" s="159">
        <f>'[1]VV EL slaboproud SB 126'!G5</f>
        <v>0</v>
      </c>
      <c r="H22" s="70"/>
    </row>
    <row r="23" spans="1:8" ht="15">
      <c r="A23" s="478" t="s">
        <v>83</v>
      </c>
      <c r="B23" s="53"/>
      <c r="C23" s="158"/>
      <c r="D23" s="145"/>
      <c r="E23" s="578"/>
      <c r="F23" s="147"/>
      <c r="G23" s="159"/>
      <c r="H23" s="70"/>
    </row>
    <row r="24" spans="1:8" ht="15">
      <c r="A24" s="478" t="s">
        <v>85</v>
      </c>
      <c r="B24" s="53"/>
      <c r="C24" s="164"/>
      <c r="D24" s="145"/>
      <c r="E24" s="578"/>
      <c r="F24" s="147"/>
      <c r="G24" s="155"/>
      <c r="H24" s="59"/>
    </row>
    <row r="25" spans="1:8" ht="15">
      <c r="A25" s="478" t="s">
        <v>87</v>
      </c>
      <c r="B25" s="53"/>
      <c r="C25" s="152" t="s">
        <v>58</v>
      </c>
      <c r="D25" s="145" t="s">
        <v>51</v>
      </c>
      <c r="E25" s="578"/>
      <c r="F25" s="147"/>
      <c r="G25" s="148">
        <f>SUM(G15:G24)</f>
        <v>0</v>
      </c>
      <c r="H25" s="59"/>
    </row>
    <row r="26" spans="1:8" ht="15">
      <c r="A26" s="478" t="s">
        <v>88</v>
      </c>
      <c r="B26" s="53"/>
      <c r="C26" s="156" t="s">
        <v>59</v>
      </c>
      <c r="D26" s="145"/>
      <c r="E26" s="578"/>
      <c r="F26" s="147"/>
      <c r="G26" s="165"/>
      <c r="H26" s="59"/>
    </row>
    <row r="27" spans="1:8" ht="15">
      <c r="A27" s="478" t="s">
        <v>89</v>
      </c>
      <c r="B27" s="53"/>
      <c r="C27" s="164" t="s">
        <v>60</v>
      </c>
      <c r="D27" s="145" t="s">
        <v>51</v>
      </c>
      <c r="E27" s="578"/>
      <c r="F27" s="147"/>
      <c r="G27" s="155">
        <f>G25*0.025</f>
        <v>0</v>
      </c>
      <c r="H27" s="59"/>
    </row>
    <row r="28" spans="1:8" ht="15">
      <c r="A28" s="478" t="s">
        <v>90</v>
      </c>
      <c r="B28" s="53"/>
      <c r="C28" s="164"/>
      <c r="D28" s="145"/>
      <c r="E28" s="578"/>
      <c r="F28" s="147"/>
      <c r="G28" s="155"/>
      <c r="H28" s="59"/>
    </row>
    <row r="29" spans="1:8" ht="15">
      <c r="A29" s="478" t="s">
        <v>91</v>
      </c>
      <c r="B29" s="53"/>
      <c r="C29" s="164"/>
      <c r="D29" s="145"/>
      <c r="E29" s="578"/>
      <c r="F29" s="147"/>
      <c r="G29" s="155"/>
      <c r="H29" s="59"/>
    </row>
    <row r="30" spans="1:8" ht="15">
      <c r="A30" s="478" t="s">
        <v>92</v>
      </c>
      <c r="B30" s="53"/>
      <c r="C30" s="166" t="s">
        <v>61</v>
      </c>
      <c r="D30" s="145" t="s">
        <v>51</v>
      </c>
      <c r="E30" s="578"/>
      <c r="F30" s="147"/>
      <c r="G30" s="148">
        <f>SUM(G25:G29)</f>
        <v>0</v>
      </c>
      <c r="H30" s="59"/>
    </row>
    <row r="31" spans="1:8" ht="15">
      <c r="A31" s="478" t="s">
        <v>93</v>
      </c>
      <c r="B31" s="53"/>
      <c r="C31" s="164"/>
      <c r="D31" s="145"/>
      <c r="E31" s="578"/>
      <c r="F31" s="147"/>
      <c r="G31" s="155"/>
      <c r="H31" s="59"/>
    </row>
    <row r="32" spans="1:8" ht="15">
      <c r="A32" s="478" t="s">
        <v>94</v>
      </c>
      <c r="B32" s="53"/>
      <c r="C32" s="164"/>
      <c r="D32" s="145"/>
      <c r="E32" s="578"/>
      <c r="F32" s="147"/>
      <c r="G32" s="155"/>
      <c r="H32" s="59"/>
    </row>
    <row r="33" spans="1:8" ht="15">
      <c r="A33" s="478" t="s">
        <v>95</v>
      </c>
      <c r="B33" s="53"/>
      <c r="C33" s="166" t="s">
        <v>62</v>
      </c>
      <c r="D33" s="145" t="s">
        <v>51</v>
      </c>
      <c r="E33" s="578"/>
      <c r="F33" s="147"/>
      <c r="G33" s="155">
        <f>G30*0.21</f>
        <v>0</v>
      </c>
      <c r="H33" s="59"/>
    </row>
    <row r="34" spans="1:8" ht="15">
      <c r="A34" s="478" t="s">
        <v>96</v>
      </c>
      <c r="B34" s="53"/>
      <c r="C34" s="166"/>
      <c r="D34" s="145"/>
      <c r="E34" s="578"/>
      <c r="F34" s="147"/>
      <c r="G34" s="155"/>
      <c r="H34" s="59"/>
    </row>
    <row r="35" spans="1:8" ht="15">
      <c r="A35" s="478" t="s">
        <v>97</v>
      </c>
      <c r="B35" s="53"/>
      <c r="C35" s="152" t="s">
        <v>63</v>
      </c>
      <c r="D35" s="145" t="s">
        <v>51</v>
      </c>
      <c r="E35" s="578"/>
      <c r="F35" s="147"/>
      <c r="G35" s="148">
        <f>SUM(G30:G34)</f>
        <v>0</v>
      </c>
      <c r="H35" s="59"/>
    </row>
    <row r="36" spans="1:8" ht="15">
      <c r="A36" s="478" t="s">
        <v>98</v>
      </c>
      <c r="B36" s="53"/>
      <c r="C36" s="152"/>
      <c r="D36" s="145"/>
      <c r="E36" s="578"/>
      <c r="F36" s="147"/>
      <c r="G36" s="148"/>
      <c r="H36" s="59"/>
    </row>
    <row r="37" spans="1:8" ht="15">
      <c r="A37" s="478" t="s">
        <v>99</v>
      </c>
      <c r="B37" s="53"/>
      <c r="C37" s="62"/>
      <c r="D37" s="277"/>
      <c r="E37" s="477"/>
      <c r="F37" s="57"/>
      <c r="G37" s="58"/>
      <c r="H37" s="59"/>
    </row>
    <row r="38" spans="1:8" ht="15">
      <c r="A38" s="478" t="s">
        <v>100</v>
      </c>
      <c r="B38" s="53"/>
      <c r="C38" s="62"/>
      <c r="D38" s="277"/>
      <c r="E38" s="477"/>
      <c r="F38" s="57"/>
      <c r="G38" s="58"/>
      <c r="H38" s="59"/>
    </row>
    <row r="39" spans="1:8" ht="15">
      <c r="A39" s="478" t="s">
        <v>101</v>
      </c>
      <c r="B39" s="53"/>
      <c r="C39" s="62"/>
      <c r="D39" s="277"/>
      <c r="E39" s="477"/>
      <c r="F39" s="57"/>
      <c r="G39" s="58"/>
      <c r="H39" s="59"/>
    </row>
    <row r="40" spans="1:8" ht="25.5">
      <c r="A40" s="579" t="s">
        <v>102</v>
      </c>
      <c r="B40" s="167" t="s">
        <v>105</v>
      </c>
      <c r="C40" s="167" t="s">
        <v>106</v>
      </c>
      <c r="D40" s="167" t="s">
        <v>107</v>
      </c>
      <c r="E40" s="598" t="s">
        <v>108</v>
      </c>
      <c r="F40" s="168" t="s">
        <v>109</v>
      </c>
      <c r="G40" s="169" t="s">
        <v>110</v>
      </c>
      <c r="H40" s="170" t="s">
        <v>240</v>
      </c>
    </row>
    <row r="41" spans="1:8" ht="76.5">
      <c r="A41" s="579" t="s">
        <v>103</v>
      </c>
      <c r="B41" s="144"/>
      <c r="C41" s="171" t="s">
        <v>113</v>
      </c>
      <c r="D41" s="145"/>
      <c r="E41" s="578"/>
      <c r="F41" s="147"/>
      <c r="G41" s="155"/>
      <c r="H41" s="149"/>
    </row>
    <row r="42" spans="1:8" ht="26.25">
      <c r="A42" s="579" t="s">
        <v>104</v>
      </c>
      <c r="B42" s="144"/>
      <c r="C42" s="172" t="s">
        <v>115</v>
      </c>
      <c r="D42" s="145"/>
      <c r="E42" s="578"/>
      <c r="F42" s="147"/>
      <c r="G42" s="155"/>
      <c r="H42" s="149"/>
    </row>
    <row r="43" spans="1:8" ht="26.25">
      <c r="A43" s="579" t="s">
        <v>112</v>
      </c>
      <c r="B43" s="144"/>
      <c r="C43" s="173" t="s">
        <v>117</v>
      </c>
      <c r="D43" s="145"/>
      <c r="E43" s="578"/>
      <c r="F43" s="147"/>
      <c r="G43" s="155"/>
      <c r="H43" s="149"/>
    </row>
    <row r="44" spans="1:8" ht="15">
      <c r="A44" s="579" t="s">
        <v>114</v>
      </c>
      <c r="B44" s="144"/>
      <c r="C44" s="173"/>
      <c r="D44" s="145"/>
      <c r="E44" s="578"/>
      <c r="F44" s="147"/>
      <c r="G44" s="155"/>
      <c r="H44" s="149"/>
    </row>
    <row r="45" spans="1:8" ht="15">
      <c r="A45" s="579" t="s">
        <v>116</v>
      </c>
      <c r="B45" s="144"/>
      <c r="C45" s="174" t="s">
        <v>501</v>
      </c>
      <c r="D45" s="145"/>
      <c r="E45" s="146"/>
      <c r="F45" s="147"/>
      <c r="G45" s="155"/>
      <c r="H45" s="149"/>
    </row>
    <row r="46" spans="1:8" ht="15">
      <c r="A46" s="579" t="s">
        <v>118</v>
      </c>
      <c r="B46" s="144"/>
      <c r="C46" s="174"/>
      <c r="D46" s="145"/>
      <c r="E46" s="146"/>
      <c r="F46" s="147"/>
      <c r="G46" s="155"/>
      <c r="H46" s="149"/>
    </row>
    <row r="47" spans="1:8" ht="15">
      <c r="A47" s="579" t="s">
        <v>119</v>
      </c>
      <c r="B47" s="175"/>
      <c r="C47" s="176" t="s">
        <v>123</v>
      </c>
      <c r="D47" s="177" t="s">
        <v>51</v>
      </c>
      <c r="E47" s="178" t="s">
        <v>124</v>
      </c>
      <c r="F47" s="179"/>
      <c r="G47" s="180">
        <f>SUM(G48:G51)</f>
        <v>0</v>
      </c>
      <c r="H47" s="178"/>
    </row>
    <row r="48" spans="1:8" ht="26.25">
      <c r="A48" s="579" t="s">
        <v>121</v>
      </c>
      <c r="B48" s="175"/>
      <c r="C48" s="160" t="s">
        <v>241</v>
      </c>
      <c r="D48" s="181" t="s">
        <v>127</v>
      </c>
      <c r="E48" s="162">
        <v>2</v>
      </c>
      <c r="F48" s="179">
        <v>0</v>
      </c>
      <c r="G48" s="182">
        <f>E48*F48</f>
        <v>0</v>
      </c>
      <c r="H48" s="183"/>
    </row>
    <row r="49" spans="1:8" ht="39">
      <c r="A49" s="579" t="s">
        <v>122</v>
      </c>
      <c r="B49" s="184"/>
      <c r="C49" s="160" t="s">
        <v>594</v>
      </c>
      <c r="D49" s="161" t="s">
        <v>130</v>
      </c>
      <c r="E49" s="162">
        <f>9.5*6.93-0.85*0.35-0.5*0.35-0.15-0.35</f>
        <v>64.8625</v>
      </c>
      <c r="F49" s="163">
        <v>0</v>
      </c>
      <c r="G49" s="182">
        <f>E49*F49</f>
        <v>0</v>
      </c>
      <c r="H49" s="183"/>
    </row>
    <row r="50" spans="1:8" ht="38.25">
      <c r="A50" s="579" t="s">
        <v>125</v>
      </c>
      <c r="B50" s="184" t="s">
        <v>132</v>
      </c>
      <c r="C50" s="185" t="s">
        <v>579</v>
      </c>
      <c r="D50" s="161" t="s">
        <v>134</v>
      </c>
      <c r="E50" s="162">
        <v>4</v>
      </c>
      <c r="F50" s="163">
        <v>0</v>
      </c>
      <c r="G50" s="182">
        <f>E50*F50</f>
        <v>0</v>
      </c>
      <c r="H50" s="183"/>
    </row>
    <row r="51" spans="1:8" ht="51">
      <c r="A51" s="579" t="s">
        <v>128</v>
      </c>
      <c r="B51" s="184">
        <v>619996145</v>
      </c>
      <c r="C51" s="185" t="s">
        <v>595</v>
      </c>
      <c r="D51" s="161" t="s">
        <v>130</v>
      </c>
      <c r="E51" s="162">
        <f>2.5*2.1*2+1*2</f>
        <v>12.5</v>
      </c>
      <c r="F51" s="163">
        <v>0</v>
      </c>
      <c r="G51" s="182">
        <f>E51*F51</f>
        <v>0</v>
      </c>
      <c r="H51" s="183"/>
    </row>
    <row r="52" spans="1:8" ht="15">
      <c r="A52" s="579" t="s">
        <v>131</v>
      </c>
      <c r="B52" s="184"/>
      <c r="C52" s="189"/>
      <c r="D52" s="161"/>
      <c r="E52" s="162"/>
      <c r="F52" s="163"/>
      <c r="G52" s="159"/>
      <c r="H52" s="188"/>
    </row>
    <row r="53" spans="1:8" ht="15">
      <c r="A53" s="579" t="s">
        <v>135</v>
      </c>
      <c r="B53" s="184"/>
      <c r="C53" s="189"/>
      <c r="D53" s="161"/>
      <c r="E53" s="162"/>
      <c r="F53" s="163"/>
      <c r="G53" s="159"/>
      <c r="H53" s="188"/>
    </row>
    <row r="54" spans="1:8" ht="15">
      <c r="A54" s="579" t="s">
        <v>137</v>
      </c>
      <c r="B54" s="175"/>
      <c r="C54" s="190" t="s">
        <v>146</v>
      </c>
      <c r="D54" s="177" t="s">
        <v>51</v>
      </c>
      <c r="E54" s="178" t="s">
        <v>124</v>
      </c>
      <c r="F54" s="179"/>
      <c r="G54" s="180">
        <f>SUM(G55:G62)</f>
        <v>0</v>
      </c>
      <c r="H54" s="178">
        <f>SUM(H55:H56)</f>
        <v>0.885</v>
      </c>
    </row>
    <row r="55" spans="1:8" ht="15">
      <c r="A55" s="579" t="s">
        <v>140</v>
      </c>
      <c r="B55" s="175">
        <v>974031122</v>
      </c>
      <c r="C55" s="191" t="s">
        <v>244</v>
      </c>
      <c r="D55" s="192" t="s">
        <v>149</v>
      </c>
      <c r="E55" s="183">
        <v>60</v>
      </c>
      <c r="F55" s="179">
        <v>0</v>
      </c>
      <c r="G55" s="193">
        <f>E55*F55</f>
        <v>0</v>
      </c>
      <c r="H55" s="183">
        <f>0.004*E55</f>
        <v>0.24</v>
      </c>
    </row>
    <row r="56" spans="1:8" ht="26.25">
      <c r="A56" s="579" t="s">
        <v>143</v>
      </c>
      <c r="B56" s="175">
        <v>973031324</v>
      </c>
      <c r="C56" s="191" t="s">
        <v>245</v>
      </c>
      <c r="D56" s="192" t="s">
        <v>127</v>
      </c>
      <c r="E56" s="183">
        <f>30+13</f>
        <v>43</v>
      </c>
      <c r="F56" s="179">
        <v>0</v>
      </c>
      <c r="G56" s="193">
        <f>E56*F56</f>
        <v>0</v>
      </c>
      <c r="H56" s="183">
        <f>0.015*E56</f>
        <v>0.645</v>
      </c>
    </row>
    <row r="57" spans="1:8" ht="26.25">
      <c r="A57" s="579" t="s">
        <v>144</v>
      </c>
      <c r="B57" s="175">
        <v>997013151</v>
      </c>
      <c r="C57" s="194" t="s">
        <v>247</v>
      </c>
      <c r="D57" s="195" t="s">
        <v>157</v>
      </c>
      <c r="E57" s="196">
        <f>0.55+0.01+0.03</f>
        <v>0.5900000000000001</v>
      </c>
      <c r="F57" s="197">
        <v>0</v>
      </c>
      <c r="G57" s="182">
        <f>E57*F57</f>
        <v>0</v>
      </c>
      <c r="H57" s="183"/>
    </row>
    <row r="58" spans="1:8" ht="15">
      <c r="A58" s="579" t="s">
        <v>145</v>
      </c>
      <c r="B58" s="175"/>
      <c r="C58" s="194" t="s">
        <v>238</v>
      </c>
      <c r="D58" s="195"/>
      <c r="E58" s="196"/>
      <c r="F58" s="197"/>
      <c r="G58" s="182"/>
      <c r="H58" s="183"/>
    </row>
    <row r="59" spans="1:8" ht="26.25">
      <c r="A59" s="579" t="s">
        <v>147</v>
      </c>
      <c r="B59" s="175">
        <v>997013501</v>
      </c>
      <c r="C59" s="194" t="s">
        <v>248</v>
      </c>
      <c r="D59" s="195" t="s">
        <v>157</v>
      </c>
      <c r="E59" s="196">
        <f>E57</f>
        <v>0.5900000000000001</v>
      </c>
      <c r="F59" s="197">
        <v>0</v>
      </c>
      <c r="G59" s="182">
        <f>E59*F59</f>
        <v>0</v>
      </c>
      <c r="H59" s="183"/>
    </row>
    <row r="60" spans="1:8" ht="26.25">
      <c r="A60" s="579" t="s">
        <v>150</v>
      </c>
      <c r="B60" s="175">
        <v>997013509</v>
      </c>
      <c r="C60" s="194" t="s">
        <v>249</v>
      </c>
      <c r="D60" s="195" t="s">
        <v>157</v>
      </c>
      <c r="E60" s="196">
        <f>E57</f>
        <v>0.5900000000000001</v>
      </c>
      <c r="F60" s="197">
        <v>0</v>
      </c>
      <c r="G60" s="182">
        <f>E60*F60</f>
        <v>0</v>
      </c>
      <c r="H60" s="183"/>
    </row>
    <row r="61" spans="1:8" ht="26.25">
      <c r="A61" s="579" t="s">
        <v>152</v>
      </c>
      <c r="B61" s="175">
        <v>469973114</v>
      </c>
      <c r="C61" s="194" t="s">
        <v>250</v>
      </c>
      <c r="D61" s="195" t="s">
        <v>157</v>
      </c>
      <c r="E61" s="196">
        <f>0.55+0.03</f>
        <v>0.5800000000000001</v>
      </c>
      <c r="F61" s="197">
        <v>0</v>
      </c>
      <c r="G61" s="182">
        <f>E61*F61</f>
        <v>0</v>
      </c>
      <c r="H61" s="183"/>
    </row>
    <row r="62" spans="1:8" ht="39">
      <c r="A62" s="579" t="s">
        <v>153</v>
      </c>
      <c r="B62" s="175">
        <v>997013813</v>
      </c>
      <c r="C62" s="194" t="s">
        <v>596</v>
      </c>
      <c r="D62" s="195" t="s">
        <v>157</v>
      </c>
      <c r="E62" s="196">
        <v>0.01</v>
      </c>
      <c r="F62" s="197">
        <v>0</v>
      </c>
      <c r="G62" s="182">
        <f>E62*F62</f>
        <v>0</v>
      </c>
      <c r="H62" s="183"/>
    </row>
    <row r="63" spans="1:8" ht="15">
      <c r="A63" s="579" t="s">
        <v>155</v>
      </c>
      <c r="B63" s="198"/>
      <c r="C63" s="199"/>
      <c r="D63" s="200"/>
      <c r="E63" s="201"/>
      <c r="F63" s="202"/>
      <c r="G63" s="203"/>
      <c r="H63" s="204"/>
    </row>
    <row r="64" spans="1:8" ht="15">
      <c r="A64" s="579" t="s">
        <v>158</v>
      </c>
      <c r="B64" s="198"/>
      <c r="C64" s="205" t="s">
        <v>170</v>
      </c>
      <c r="D64" s="177" t="s">
        <v>51</v>
      </c>
      <c r="E64" s="178" t="s">
        <v>124</v>
      </c>
      <c r="F64" s="179"/>
      <c r="G64" s="180">
        <f>SUM(G65:G70)</f>
        <v>0</v>
      </c>
      <c r="H64" s="178">
        <f>SUM(H65:H70)</f>
        <v>1.2223645</v>
      </c>
    </row>
    <row r="65" spans="1:8" ht="26.25">
      <c r="A65" s="579" t="s">
        <v>160</v>
      </c>
      <c r="B65" s="198">
        <v>612135101</v>
      </c>
      <c r="C65" s="199" t="s">
        <v>597</v>
      </c>
      <c r="D65" s="200" t="s">
        <v>130</v>
      </c>
      <c r="E65" s="201">
        <f>0.1*60</f>
        <v>6</v>
      </c>
      <c r="F65" s="202">
        <v>0</v>
      </c>
      <c r="G65" s="182">
        <f aca="true" t="shared" si="0" ref="G65:G70">E65*F65</f>
        <v>0</v>
      </c>
      <c r="H65" s="206">
        <f>0.056*E65</f>
        <v>0.336</v>
      </c>
    </row>
    <row r="66" spans="1:8" ht="26.25">
      <c r="A66" s="579" t="s">
        <v>162</v>
      </c>
      <c r="B66" s="198">
        <v>612325121</v>
      </c>
      <c r="C66" s="199" t="s">
        <v>598</v>
      </c>
      <c r="D66" s="200" t="s">
        <v>130</v>
      </c>
      <c r="E66" s="201">
        <f>0.15*60</f>
        <v>9</v>
      </c>
      <c r="F66" s="202">
        <v>0</v>
      </c>
      <c r="G66" s="182">
        <f t="shared" si="0"/>
        <v>0</v>
      </c>
      <c r="H66" s="206">
        <f>0.04153*E66</f>
        <v>0.37377</v>
      </c>
    </row>
    <row r="67" spans="1:8" ht="15">
      <c r="A67" s="579" t="s">
        <v>164</v>
      </c>
      <c r="B67" s="198">
        <v>612315222</v>
      </c>
      <c r="C67" s="199" t="s">
        <v>559</v>
      </c>
      <c r="D67" s="200" t="s">
        <v>127</v>
      </c>
      <c r="E67" s="201">
        <v>43</v>
      </c>
      <c r="F67" s="202">
        <v>0</v>
      </c>
      <c r="G67" s="182">
        <f t="shared" si="0"/>
        <v>0</v>
      </c>
      <c r="H67" s="206">
        <f>0.01*E67</f>
        <v>0.43</v>
      </c>
    </row>
    <row r="68" spans="1:8" ht="26.25">
      <c r="A68" s="579" t="s">
        <v>166</v>
      </c>
      <c r="B68" s="198" t="s">
        <v>178</v>
      </c>
      <c r="C68" s="199" t="s">
        <v>560</v>
      </c>
      <c r="D68" s="200" t="s">
        <v>180</v>
      </c>
      <c r="E68" s="201">
        <v>1</v>
      </c>
      <c r="F68" s="202">
        <v>0</v>
      </c>
      <c r="G68" s="182">
        <f t="shared" si="0"/>
        <v>0</v>
      </c>
      <c r="H68" s="206">
        <f>0.08</f>
        <v>0.08</v>
      </c>
    </row>
    <row r="69" spans="1:8" ht="39">
      <c r="A69" s="579" t="s">
        <v>168</v>
      </c>
      <c r="B69" s="198">
        <v>952901111</v>
      </c>
      <c r="C69" s="199" t="s">
        <v>599</v>
      </c>
      <c r="D69" s="200"/>
      <c r="E69" s="201">
        <f>E49</f>
        <v>64.8625</v>
      </c>
      <c r="F69" s="202">
        <v>0</v>
      </c>
      <c r="G69" s="182">
        <f t="shared" si="0"/>
        <v>0</v>
      </c>
      <c r="H69" s="206">
        <f>0.00004*E69</f>
        <v>0.0025945</v>
      </c>
    </row>
    <row r="70" spans="1:8" ht="15">
      <c r="A70" s="579" t="s">
        <v>169</v>
      </c>
      <c r="B70" s="198">
        <v>998011001</v>
      </c>
      <c r="C70" s="207" t="s">
        <v>254</v>
      </c>
      <c r="D70" s="200" t="s">
        <v>157</v>
      </c>
      <c r="E70" s="201">
        <f>SUM(H65:H67)</f>
        <v>1.13977</v>
      </c>
      <c r="F70" s="202">
        <v>0</v>
      </c>
      <c r="G70" s="182">
        <f t="shared" si="0"/>
        <v>0</v>
      </c>
      <c r="H70" s="204"/>
    </row>
    <row r="71" spans="1:8" ht="15">
      <c r="A71" s="579" t="s">
        <v>171</v>
      </c>
      <c r="B71" s="198"/>
      <c r="C71" s="207"/>
      <c r="D71" s="200"/>
      <c r="E71" s="201"/>
      <c r="F71" s="202"/>
      <c r="G71" s="182"/>
      <c r="H71" s="204"/>
    </row>
    <row r="72" spans="1:8" ht="15">
      <c r="A72" s="579" t="s">
        <v>173</v>
      </c>
      <c r="B72" s="198"/>
      <c r="C72" s="205"/>
      <c r="D72" s="208"/>
      <c r="E72" s="209"/>
      <c r="F72" s="202"/>
      <c r="G72" s="210"/>
      <c r="H72" s="204"/>
    </row>
    <row r="73" spans="1:8" ht="15">
      <c r="A73" s="579" t="s">
        <v>175</v>
      </c>
      <c r="B73" s="198"/>
      <c r="C73" s="205" t="s">
        <v>188</v>
      </c>
      <c r="D73" s="200" t="s">
        <v>51</v>
      </c>
      <c r="E73" s="201" t="s">
        <v>189</v>
      </c>
      <c r="F73" s="202"/>
      <c r="G73" s="210">
        <f>SUM(G74:G84)</f>
        <v>0</v>
      </c>
      <c r="H73" s="204"/>
    </row>
    <row r="74" spans="1:8" ht="63.75">
      <c r="A74" s="579" t="s">
        <v>177</v>
      </c>
      <c r="B74" s="198">
        <v>776201812</v>
      </c>
      <c r="C74" s="211" t="s">
        <v>600</v>
      </c>
      <c r="D74" s="200" t="s">
        <v>130</v>
      </c>
      <c r="E74" s="162">
        <f>9.5*6.93-0.85*0.35-0.5*0.35-0.15-0.35</f>
        <v>64.8625</v>
      </c>
      <c r="F74" s="202">
        <v>0</v>
      </c>
      <c r="G74" s="203">
        <f aca="true" t="shared" si="1" ref="G74:G83">E74*F74</f>
        <v>0</v>
      </c>
      <c r="H74" s="204">
        <f>0.003*E74</f>
        <v>0.1945875</v>
      </c>
    </row>
    <row r="75" spans="1:8" ht="38.25">
      <c r="A75" s="579" t="s">
        <v>181</v>
      </c>
      <c r="B75" s="198">
        <v>776410811</v>
      </c>
      <c r="C75" s="211" t="s">
        <v>601</v>
      </c>
      <c r="D75" s="200" t="s">
        <v>149</v>
      </c>
      <c r="E75" s="201">
        <f>(9.5+6.93)*2+(0.35*2)</f>
        <v>33.56</v>
      </c>
      <c r="F75" s="202">
        <v>0</v>
      </c>
      <c r="G75" s="203">
        <f t="shared" si="1"/>
        <v>0</v>
      </c>
      <c r="H75" s="204">
        <f>0.0003*E75</f>
        <v>0.010068</v>
      </c>
    </row>
    <row r="76" spans="1:8" ht="39">
      <c r="A76" s="579" t="s">
        <v>183</v>
      </c>
      <c r="B76" s="198">
        <v>776991821</v>
      </c>
      <c r="C76" s="199" t="s">
        <v>602</v>
      </c>
      <c r="D76" s="200" t="s">
        <v>130</v>
      </c>
      <c r="E76" s="201">
        <f>E74</f>
        <v>64.8625</v>
      </c>
      <c r="F76" s="202">
        <v>0</v>
      </c>
      <c r="G76" s="203">
        <f t="shared" si="1"/>
        <v>0</v>
      </c>
      <c r="H76" s="204">
        <v>0</v>
      </c>
    </row>
    <row r="77" spans="1:8" ht="25.5">
      <c r="A77" s="579" t="s">
        <v>185</v>
      </c>
      <c r="B77" s="198">
        <v>776111115</v>
      </c>
      <c r="C77" s="211" t="s">
        <v>255</v>
      </c>
      <c r="D77" s="200" t="s">
        <v>130</v>
      </c>
      <c r="E77" s="201">
        <f>E74</f>
        <v>64.8625</v>
      </c>
      <c r="F77" s="202">
        <v>0</v>
      </c>
      <c r="G77" s="203">
        <f t="shared" si="1"/>
        <v>0</v>
      </c>
      <c r="H77" s="204"/>
    </row>
    <row r="78" spans="1:8" ht="25.5">
      <c r="A78" s="579" t="s">
        <v>186</v>
      </c>
      <c r="B78" s="198">
        <v>776121511</v>
      </c>
      <c r="C78" s="212" t="s">
        <v>256</v>
      </c>
      <c r="D78" s="200" t="s">
        <v>130</v>
      </c>
      <c r="E78" s="201">
        <f>E74</f>
        <v>64.8625</v>
      </c>
      <c r="F78" s="202">
        <v>0</v>
      </c>
      <c r="G78" s="203">
        <f t="shared" si="1"/>
        <v>0</v>
      </c>
      <c r="H78" s="204"/>
    </row>
    <row r="79" spans="1:8" ht="51.75">
      <c r="A79" s="579" t="s">
        <v>187</v>
      </c>
      <c r="B79" s="198">
        <v>776141112</v>
      </c>
      <c r="C79" s="199" t="s">
        <v>257</v>
      </c>
      <c r="D79" s="200" t="s">
        <v>130</v>
      </c>
      <c r="E79" s="201">
        <f>E74</f>
        <v>64.8625</v>
      </c>
      <c r="F79" s="202">
        <v>0</v>
      </c>
      <c r="G79" s="203">
        <f t="shared" si="1"/>
        <v>0</v>
      </c>
      <c r="H79" s="204"/>
    </row>
    <row r="80" spans="1:8" ht="39">
      <c r="A80" s="579" t="s">
        <v>190</v>
      </c>
      <c r="B80" s="198">
        <v>776221221</v>
      </c>
      <c r="C80" s="199" t="s">
        <v>589</v>
      </c>
      <c r="D80" s="200" t="s">
        <v>130</v>
      </c>
      <c r="E80" s="201">
        <f>E74</f>
        <v>64.8625</v>
      </c>
      <c r="F80" s="202">
        <v>0</v>
      </c>
      <c r="G80" s="203">
        <f t="shared" si="1"/>
        <v>0</v>
      </c>
      <c r="H80" s="204"/>
    </row>
    <row r="81" spans="1:8" ht="26.25">
      <c r="A81" s="579" t="s">
        <v>191</v>
      </c>
      <c r="B81" s="198" t="s">
        <v>178</v>
      </c>
      <c r="C81" s="199" t="s">
        <v>603</v>
      </c>
      <c r="D81" s="200" t="s">
        <v>130</v>
      </c>
      <c r="E81" s="201">
        <f>64.863*1.09</f>
        <v>70.70067</v>
      </c>
      <c r="F81" s="202">
        <v>0</v>
      </c>
      <c r="G81" s="203">
        <f t="shared" si="1"/>
        <v>0</v>
      </c>
      <c r="H81" s="204"/>
    </row>
    <row r="82" spans="1:8" ht="26.25">
      <c r="A82" s="579" t="s">
        <v>192</v>
      </c>
      <c r="B82" s="198">
        <v>776421111</v>
      </c>
      <c r="C82" s="199" t="s">
        <v>604</v>
      </c>
      <c r="D82" s="200" t="s">
        <v>149</v>
      </c>
      <c r="E82" s="201">
        <f>(9.5+6.93)*2+0.35*2</f>
        <v>33.56</v>
      </c>
      <c r="F82" s="202">
        <v>0</v>
      </c>
      <c r="G82" s="203">
        <f t="shared" si="1"/>
        <v>0</v>
      </c>
      <c r="H82" s="204"/>
    </row>
    <row r="83" spans="1:8" ht="15">
      <c r="A83" s="579" t="s">
        <v>193</v>
      </c>
      <c r="B83" s="198" t="s">
        <v>178</v>
      </c>
      <c r="C83" s="199" t="s">
        <v>575</v>
      </c>
      <c r="D83" s="200" t="s">
        <v>149</v>
      </c>
      <c r="E83" s="201">
        <f>E82*1.09</f>
        <v>36.580400000000004</v>
      </c>
      <c r="F83" s="202">
        <v>0</v>
      </c>
      <c r="G83" s="203">
        <f t="shared" si="1"/>
        <v>0</v>
      </c>
      <c r="H83" s="204"/>
    </row>
    <row r="84" spans="1:8" ht="15">
      <c r="A84" s="579" t="s">
        <v>194</v>
      </c>
      <c r="B84" s="198">
        <v>998776202</v>
      </c>
      <c r="C84" s="199" t="s">
        <v>260</v>
      </c>
      <c r="D84" s="200" t="s">
        <v>201</v>
      </c>
      <c r="E84" s="201">
        <v>0.0038</v>
      </c>
      <c r="F84" s="202">
        <f>SUM(G74:G83)</f>
        <v>0</v>
      </c>
      <c r="G84" s="203">
        <f>E84*F84</f>
        <v>0</v>
      </c>
      <c r="H84" s="204"/>
    </row>
    <row r="85" spans="1:8" ht="15">
      <c r="A85" s="579" t="s">
        <v>195</v>
      </c>
      <c r="B85" s="198"/>
      <c r="C85" s="199"/>
      <c r="D85" s="200"/>
      <c r="E85" s="201"/>
      <c r="F85" s="202"/>
      <c r="G85" s="203"/>
      <c r="H85" s="204"/>
    </row>
    <row r="86" spans="1:8" ht="15">
      <c r="A86" s="579" t="s">
        <v>196</v>
      </c>
      <c r="B86" s="198"/>
      <c r="C86" s="199"/>
      <c r="D86" s="200"/>
      <c r="E86" s="201"/>
      <c r="F86" s="202"/>
      <c r="G86" s="203"/>
      <c r="H86" s="204"/>
    </row>
    <row r="87" spans="1:8" ht="15">
      <c r="A87" s="579" t="s">
        <v>197</v>
      </c>
      <c r="B87" s="198"/>
      <c r="C87" s="205" t="s">
        <v>229</v>
      </c>
      <c r="D87" s="208" t="s">
        <v>51</v>
      </c>
      <c r="E87" s="209" t="s">
        <v>124</v>
      </c>
      <c r="F87" s="202"/>
      <c r="G87" s="210">
        <f>SUM(G88:G91)</f>
        <v>0</v>
      </c>
      <c r="H87" s="204"/>
    </row>
    <row r="88" spans="1:8" ht="63.75">
      <c r="A88" s="579" t="s">
        <v>198</v>
      </c>
      <c r="B88" s="198">
        <v>784121001</v>
      </c>
      <c r="C88" s="214" t="s">
        <v>605</v>
      </c>
      <c r="D88" s="200" t="s">
        <v>130</v>
      </c>
      <c r="E88" s="201">
        <f>(9.5+6.93)*2*3.53+64.863</f>
        <v>180.85879999999997</v>
      </c>
      <c r="F88" s="202">
        <v>0</v>
      </c>
      <c r="G88" s="203">
        <f>E88*F88</f>
        <v>0</v>
      </c>
      <c r="H88" s="204">
        <f>0.0003*E88</f>
        <v>0.05425763999999999</v>
      </c>
    </row>
    <row r="89" spans="1:8" ht="38.25">
      <c r="A89" s="579" t="s">
        <v>199</v>
      </c>
      <c r="B89" s="198">
        <v>784111001</v>
      </c>
      <c r="C89" s="214" t="s">
        <v>266</v>
      </c>
      <c r="D89" s="200" t="s">
        <v>130</v>
      </c>
      <c r="E89" s="201">
        <f>E88</f>
        <v>180.85879999999997</v>
      </c>
      <c r="F89" s="202">
        <v>0</v>
      </c>
      <c r="G89" s="203">
        <f>E89*F89</f>
        <v>0</v>
      </c>
      <c r="H89" s="204">
        <v>0</v>
      </c>
    </row>
    <row r="90" spans="1:8" ht="25.5">
      <c r="A90" s="579" t="s">
        <v>200</v>
      </c>
      <c r="B90" s="198">
        <v>784181101</v>
      </c>
      <c r="C90" s="211" t="s">
        <v>267</v>
      </c>
      <c r="D90" s="200" t="s">
        <v>130</v>
      </c>
      <c r="E90" s="201">
        <f>E89</f>
        <v>180.85879999999997</v>
      </c>
      <c r="F90" s="202">
        <v>0</v>
      </c>
      <c r="G90" s="203">
        <f>E90*F90</f>
        <v>0</v>
      </c>
      <c r="H90" s="204"/>
    </row>
    <row r="91" spans="1:8" ht="63.75">
      <c r="A91" s="579" t="s">
        <v>202</v>
      </c>
      <c r="B91" s="198">
        <v>784221101</v>
      </c>
      <c r="C91" s="214" t="s">
        <v>606</v>
      </c>
      <c r="D91" s="200" t="s">
        <v>130</v>
      </c>
      <c r="E91" s="201">
        <f>E88</f>
        <v>180.85879999999997</v>
      </c>
      <c r="F91" s="216">
        <v>0</v>
      </c>
      <c r="G91" s="203">
        <f>E91*F91</f>
        <v>0</v>
      </c>
      <c r="H91" s="204"/>
    </row>
    <row r="92" spans="1:8" ht="15">
      <c r="A92" s="579" t="s">
        <v>203</v>
      </c>
      <c r="B92" s="198"/>
      <c r="C92" s="214"/>
      <c r="D92" s="200"/>
      <c r="E92" s="201"/>
      <c r="F92" s="202"/>
      <c r="G92" s="203"/>
      <c r="H92" s="204"/>
    </row>
    <row r="93" spans="1:8" ht="15">
      <c r="A93" s="579" t="s">
        <v>204</v>
      </c>
      <c r="B93" s="198"/>
      <c r="C93" s="215" t="s">
        <v>502</v>
      </c>
      <c r="D93" s="208"/>
      <c r="E93" s="603"/>
      <c r="F93" s="202"/>
      <c r="G93" s="210"/>
      <c r="H93" s="204"/>
    </row>
    <row r="94" spans="1:8" ht="15">
      <c r="A94" s="579" t="s">
        <v>207</v>
      </c>
      <c r="B94" s="198" t="s">
        <v>178</v>
      </c>
      <c r="C94" s="604" t="s">
        <v>607</v>
      </c>
      <c r="D94" s="200" t="s">
        <v>130</v>
      </c>
      <c r="E94" s="605">
        <v>20</v>
      </c>
      <c r="F94" s="202">
        <v>0</v>
      </c>
      <c r="G94" s="203">
        <f>E94*F94</f>
        <v>0</v>
      </c>
      <c r="H94" s="606"/>
    </row>
  </sheetData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L20" sqref="L20"/>
    </sheetView>
  </sheetViews>
  <sheetFormatPr defaultColWidth="9.140625" defaultRowHeight="15"/>
  <cols>
    <col min="1" max="1" width="13.421875" style="0" customWidth="1"/>
    <col min="2" max="2" width="61.28125" style="0" customWidth="1"/>
    <col min="3" max="3" width="11.7109375" style="0" customWidth="1"/>
    <col min="5" max="5" width="13.7109375" style="0" customWidth="1"/>
    <col min="6" max="6" width="12.8515625" style="0" customWidth="1"/>
    <col min="7" max="7" width="12.140625" style="0" customWidth="1"/>
    <col min="8" max="8" width="16.14062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518" t="s">
        <v>504</v>
      </c>
      <c r="B2" s="519"/>
      <c r="C2" s="519"/>
      <c r="D2" s="519"/>
      <c r="E2" s="519"/>
      <c r="F2" s="519"/>
      <c r="G2" s="520"/>
      <c r="H2" s="520"/>
    </row>
    <row r="3" spans="1:8" ht="44.25" customHeight="1">
      <c r="A3" s="487" t="s">
        <v>316</v>
      </c>
      <c r="B3" s="521" t="s">
        <v>505</v>
      </c>
      <c r="C3" s="487" t="s">
        <v>127</v>
      </c>
      <c r="D3" s="522">
        <v>2</v>
      </c>
      <c r="E3" s="523">
        <v>0</v>
      </c>
      <c r="F3" s="489">
        <f>D3*E3</f>
        <v>0</v>
      </c>
      <c r="G3" s="314">
        <v>0</v>
      </c>
      <c r="H3" s="489">
        <f>D3*G3</f>
        <v>0</v>
      </c>
    </row>
    <row r="4" spans="1:8" ht="32.25" customHeight="1">
      <c r="A4" s="487" t="s">
        <v>318</v>
      </c>
      <c r="B4" s="521" t="s">
        <v>506</v>
      </c>
      <c r="C4" s="487" t="s">
        <v>127</v>
      </c>
      <c r="D4" s="522">
        <v>2</v>
      </c>
      <c r="E4" s="523">
        <v>0</v>
      </c>
      <c r="F4" s="489">
        <f>D4*E4</f>
        <v>0</v>
      </c>
      <c r="G4" s="314">
        <v>0</v>
      </c>
      <c r="H4" s="489">
        <f>D4*G4</f>
        <v>0</v>
      </c>
    </row>
    <row r="5" spans="1:8" ht="20.25" customHeight="1">
      <c r="A5" s="487" t="s">
        <v>320</v>
      </c>
      <c r="B5" s="521" t="s">
        <v>507</v>
      </c>
      <c r="C5" s="487" t="s">
        <v>127</v>
      </c>
      <c r="D5" s="524">
        <v>12</v>
      </c>
      <c r="E5" s="525">
        <v>0</v>
      </c>
      <c r="F5" s="489">
        <f>D5*E5</f>
        <v>0</v>
      </c>
      <c r="G5" s="314">
        <v>0</v>
      </c>
      <c r="H5" s="489">
        <f>D5*G5</f>
        <v>0</v>
      </c>
    </row>
    <row r="6" spans="1:8" ht="16.5">
      <c r="A6" s="487" t="s">
        <v>322</v>
      </c>
      <c r="B6" s="488" t="s">
        <v>508</v>
      </c>
      <c r="C6" s="487" t="s">
        <v>180</v>
      </c>
      <c r="D6" s="487">
        <v>1</v>
      </c>
      <c r="E6" s="314">
        <v>0</v>
      </c>
      <c r="F6" s="489">
        <f>D6*E6</f>
        <v>0</v>
      </c>
      <c r="G6" s="314"/>
      <c r="H6" s="489">
        <f>D6*G6</f>
        <v>0</v>
      </c>
    </row>
    <row r="7" spans="1:8" ht="15.75">
      <c r="A7" s="494"/>
      <c r="B7" s="490" t="s">
        <v>509</v>
      </c>
      <c r="C7" s="491"/>
      <c r="D7" s="491"/>
      <c r="E7" s="495"/>
      <c r="F7" s="492">
        <f>SUM(F3:F6)</f>
        <v>0</v>
      </c>
      <c r="G7" s="492"/>
      <c r="H7" s="492">
        <f>SUM(H3:H6)</f>
        <v>0</v>
      </c>
    </row>
    <row r="8" spans="1:8" ht="15.75">
      <c r="A8" s="484" t="s">
        <v>315</v>
      </c>
      <c r="B8" s="485"/>
      <c r="C8" s="485"/>
      <c r="D8" s="485"/>
      <c r="E8" s="485"/>
      <c r="F8" s="485"/>
      <c r="G8" s="486"/>
      <c r="H8" s="486"/>
    </row>
    <row r="9" spans="1:8" ht="16.5">
      <c r="A9" s="487" t="s">
        <v>324</v>
      </c>
      <c r="B9" s="488" t="s">
        <v>510</v>
      </c>
      <c r="C9" s="487" t="s">
        <v>127</v>
      </c>
      <c r="D9" s="487">
        <v>2</v>
      </c>
      <c r="E9" s="314">
        <v>0</v>
      </c>
      <c r="F9" s="489">
        <f aca="true" t="shared" si="0" ref="F9:F17">D9*E9</f>
        <v>0</v>
      </c>
      <c r="G9" s="314">
        <v>0</v>
      </c>
      <c r="H9" s="489">
        <f aca="true" t="shared" si="1" ref="H9:H17">D9*G9</f>
        <v>0</v>
      </c>
    </row>
    <row r="10" spans="1:8" ht="16.5">
      <c r="A10" s="487" t="s">
        <v>326</v>
      </c>
      <c r="B10" s="488" t="s">
        <v>511</v>
      </c>
      <c r="C10" s="487" t="s">
        <v>127</v>
      </c>
      <c r="D10" s="487">
        <v>2</v>
      </c>
      <c r="E10" s="314">
        <v>0</v>
      </c>
      <c r="F10" s="489">
        <f t="shared" si="0"/>
        <v>0</v>
      </c>
      <c r="G10" s="314">
        <v>0</v>
      </c>
      <c r="H10" s="489">
        <f t="shared" si="1"/>
        <v>0</v>
      </c>
    </row>
    <row r="11" spans="1:8" ht="16.5">
      <c r="A11" s="487" t="s">
        <v>330</v>
      </c>
      <c r="B11" s="488" t="s">
        <v>512</v>
      </c>
      <c r="C11" s="487" t="s">
        <v>127</v>
      </c>
      <c r="D11" s="487">
        <v>62</v>
      </c>
      <c r="E11" s="314">
        <v>0</v>
      </c>
      <c r="F11" s="489">
        <f t="shared" si="0"/>
        <v>0</v>
      </c>
      <c r="G11" s="314">
        <v>0</v>
      </c>
      <c r="H11" s="489">
        <f t="shared" si="1"/>
        <v>0</v>
      </c>
    </row>
    <row r="12" spans="1:8" ht="16.5">
      <c r="A12" s="487" t="s">
        <v>332</v>
      </c>
      <c r="B12" s="488" t="s">
        <v>513</v>
      </c>
      <c r="C12" s="487" t="s">
        <v>127</v>
      </c>
      <c r="D12" s="487">
        <v>12</v>
      </c>
      <c r="E12" s="314">
        <v>0</v>
      </c>
      <c r="F12" s="489">
        <f t="shared" si="0"/>
        <v>0</v>
      </c>
      <c r="G12" s="314">
        <v>0</v>
      </c>
      <c r="H12" s="489">
        <f t="shared" si="1"/>
        <v>0</v>
      </c>
    </row>
    <row r="13" spans="1:8" ht="16.5">
      <c r="A13" s="487" t="s">
        <v>333</v>
      </c>
      <c r="B13" s="488" t="s">
        <v>319</v>
      </c>
      <c r="C13" s="487" t="s">
        <v>127</v>
      </c>
      <c r="D13" s="487">
        <v>10</v>
      </c>
      <c r="E13" s="314">
        <v>0</v>
      </c>
      <c r="F13" s="489">
        <f t="shared" si="0"/>
        <v>0</v>
      </c>
      <c r="G13" s="314">
        <v>0</v>
      </c>
      <c r="H13" s="489">
        <f t="shared" si="1"/>
        <v>0</v>
      </c>
    </row>
    <row r="14" spans="1:8" ht="16.5">
      <c r="A14" s="487" t="s">
        <v>337</v>
      </c>
      <c r="B14" s="488" t="s">
        <v>514</v>
      </c>
      <c r="C14" s="487" t="s">
        <v>127</v>
      </c>
      <c r="D14" s="487">
        <v>62</v>
      </c>
      <c r="E14" s="314">
        <v>0</v>
      </c>
      <c r="F14" s="489">
        <f t="shared" si="0"/>
        <v>0</v>
      </c>
      <c r="G14" s="314">
        <v>0</v>
      </c>
      <c r="H14" s="489">
        <f t="shared" si="1"/>
        <v>0</v>
      </c>
    </row>
    <row r="15" spans="1:8" ht="16.5">
      <c r="A15" s="487" t="s">
        <v>340</v>
      </c>
      <c r="B15" s="488" t="s">
        <v>323</v>
      </c>
      <c r="C15" s="487" t="s">
        <v>180</v>
      </c>
      <c r="D15" s="487">
        <v>1</v>
      </c>
      <c r="E15" s="314">
        <v>0</v>
      </c>
      <c r="F15" s="489">
        <f t="shared" si="0"/>
        <v>0</v>
      </c>
      <c r="G15" s="314"/>
      <c r="H15" s="489">
        <f t="shared" si="1"/>
        <v>0</v>
      </c>
    </row>
    <row r="16" spans="1:8" ht="16.5">
      <c r="A16" s="487" t="s">
        <v>342</v>
      </c>
      <c r="B16" s="488" t="s">
        <v>325</v>
      </c>
      <c r="C16" s="487" t="s">
        <v>180</v>
      </c>
      <c r="D16" s="487">
        <v>1</v>
      </c>
      <c r="E16" s="314"/>
      <c r="F16" s="489">
        <f t="shared" si="0"/>
        <v>0</v>
      </c>
      <c r="G16" s="314">
        <v>0</v>
      </c>
      <c r="H16" s="489">
        <f t="shared" si="1"/>
        <v>0</v>
      </c>
    </row>
    <row r="17" spans="1:8" ht="16.5">
      <c r="A17" s="487" t="s">
        <v>344</v>
      </c>
      <c r="B17" s="488" t="s">
        <v>327</v>
      </c>
      <c r="C17" s="487" t="s">
        <v>180</v>
      </c>
      <c r="D17" s="487">
        <v>1</v>
      </c>
      <c r="E17" s="314"/>
      <c r="F17" s="489">
        <f t="shared" si="0"/>
        <v>0</v>
      </c>
      <c r="G17" s="314">
        <v>0</v>
      </c>
      <c r="H17" s="489">
        <f t="shared" si="1"/>
        <v>0</v>
      </c>
    </row>
    <row r="18" spans="1:8" ht="16.5">
      <c r="A18" s="487"/>
      <c r="B18" s="490" t="s">
        <v>328</v>
      </c>
      <c r="C18" s="491"/>
      <c r="D18" s="491"/>
      <c r="E18" s="495"/>
      <c r="F18" s="492">
        <f>SUM(F9:F17)</f>
        <v>0</v>
      </c>
      <c r="G18" s="492"/>
      <c r="H18" s="492">
        <f>SUM(H9:H17)</f>
        <v>0</v>
      </c>
    </row>
    <row r="19" spans="1:8" ht="15.75">
      <c r="A19" s="484" t="s">
        <v>329</v>
      </c>
      <c r="B19" s="485"/>
      <c r="C19" s="485"/>
      <c r="D19" s="485"/>
      <c r="E19" s="485"/>
      <c r="F19" s="485"/>
      <c r="G19" s="486"/>
      <c r="H19" s="486"/>
    </row>
    <row r="20" spans="1:8" ht="16.5">
      <c r="A20" s="487" t="s">
        <v>346</v>
      </c>
      <c r="B20" s="488" t="s">
        <v>515</v>
      </c>
      <c r="C20" s="487" t="s">
        <v>127</v>
      </c>
      <c r="D20" s="487">
        <v>1</v>
      </c>
      <c r="E20" s="314">
        <v>0</v>
      </c>
      <c r="F20" s="489">
        <f>D20*E20</f>
        <v>0</v>
      </c>
      <c r="G20" s="314">
        <v>0</v>
      </c>
      <c r="H20" s="489">
        <f>D20*G20</f>
        <v>0</v>
      </c>
    </row>
    <row r="21" spans="1:8" ht="16.5">
      <c r="A21" s="487" t="s">
        <v>348</v>
      </c>
      <c r="B21" s="488" t="s">
        <v>331</v>
      </c>
      <c r="C21" s="487" t="s">
        <v>127</v>
      </c>
      <c r="D21" s="487">
        <v>4</v>
      </c>
      <c r="E21" s="314">
        <v>0</v>
      </c>
      <c r="F21" s="489">
        <f>D21*E21</f>
        <v>0</v>
      </c>
      <c r="G21" s="314">
        <v>0</v>
      </c>
      <c r="H21" s="489">
        <f>D21*G21</f>
        <v>0</v>
      </c>
    </row>
    <row r="22" spans="1:8" ht="16.5">
      <c r="A22" s="487" t="s">
        <v>350</v>
      </c>
      <c r="B22" s="488" t="s">
        <v>325</v>
      </c>
      <c r="C22" s="493" t="s">
        <v>180</v>
      </c>
      <c r="D22" s="487">
        <v>1</v>
      </c>
      <c r="E22" s="314"/>
      <c r="F22" s="489">
        <f>D22*E22</f>
        <v>0</v>
      </c>
      <c r="G22" s="314">
        <v>0</v>
      </c>
      <c r="H22" s="489">
        <f>D22*G22</f>
        <v>0</v>
      </c>
    </row>
    <row r="23" spans="1:8" ht="16.5">
      <c r="A23" s="487" t="s">
        <v>352</v>
      </c>
      <c r="B23" s="488" t="s">
        <v>334</v>
      </c>
      <c r="C23" s="493" t="s">
        <v>180</v>
      </c>
      <c r="D23" s="487">
        <v>1</v>
      </c>
      <c r="E23" s="314">
        <v>0</v>
      </c>
      <c r="F23" s="489">
        <f>D23*E23</f>
        <v>0</v>
      </c>
      <c r="G23" s="314">
        <v>0</v>
      </c>
      <c r="H23" s="489">
        <f>D23*G23</f>
        <v>0</v>
      </c>
    </row>
    <row r="24" spans="1:8" ht="15.75">
      <c r="A24" s="494"/>
      <c r="B24" s="490" t="s">
        <v>335</v>
      </c>
      <c r="C24" s="491"/>
      <c r="D24" s="491"/>
      <c r="E24" s="495"/>
      <c r="F24" s="492">
        <f>SUM(F20:F23)</f>
        <v>0</v>
      </c>
      <c r="G24" s="492"/>
      <c r="H24" s="492">
        <f>SUM(H20:H23)</f>
        <v>0</v>
      </c>
    </row>
    <row r="25" spans="1:8" ht="15.75">
      <c r="A25" s="484" t="s">
        <v>336</v>
      </c>
      <c r="B25" s="485"/>
      <c r="C25" s="485"/>
      <c r="D25" s="485"/>
      <c r="E25" s="485"/>
      <c r="F25" s="485"/>
      <c r="G25" s="486"/>
      <c r="H25" s="486"/>
    </row>
    <row r="26" spans="1:8" ht="16.5">
      <c r="A26" s="487" t="s">
        <v>355</v>
      </c>
      <c r="B26" s="488" t="s">
        <v>338</v>
      </c>
      <c r="C26" s="487" t="s">
        <v>339</v>
      </c>
      <c r="D26" s="487">
        <v>130</v>
      </c>
      <c r="E26" s="314">
        <v>0</v>
      </c>
      <c r="F26" s="489">
        <f aca="true" t="shared" si="2" ref="F26:F31">D26*E26</f>
        <v>0</v>
      </c>
      <c r="G26" s="314">
        <v>0</v>
      </c>
      <c r="H26" s="489">
        <f aca="true" t="shared" si="3" ref="H26:H31">D26*G26</f>
        <v>0</v>
      </c>
    </row>
    <row r="27" spans="1:8" ht="16.5">
      <c r="A27" s="487" t="s">
        <v>516</v>
      </c>
      <c r="B27" s="488" t="s">
        <v>517</v>
      </c>
      <c r="C27" s="487" t="s">
        <v>339</v>
      </c>
      <c r="D27" s="487">
        <v>120</v>
      </c>
      <c r="E27" s="314">
        <v>0</v>
      </c>
      <c r="F27" s="489">
        <f t="shared" si="2"/>
        <v>0</v>
      </c>
      <c r="G27" s="314">
        <v>0</v>
      </c>
      <c r="H27" s="489">
        <f t="shared" si="3"/>
        <v>0</v>
      </c>
    </row>
    <row r="28" spans="1:8" ht="16.5">
      <c r="A28" s="487" t="s">
        <v>518</v>
      </c>
      <c r="B28" s="488" t="s">
        <v>519</v>
      </c>
      <c r="C28" s="487" t="s">
        <v>339</v>
      </c>
      <c r="D28" s="487">
        <v>20</v>
      </c>
      <c r="E28" s="314">
        <v>0</v>
      </c>
      <c r="F28" s="489">
        <f t="shared" si="2"/>
        <v>0</v>
      </c>
      <c r="G28" s="314">
        <v>0</v>
      </c>
      <c r="H28" s="489">
        <f t="shared" si="3"/>
        <v>0</v>
      </c>
    </row>
    <row r="29" spans="1:8" ht="16.5">
      <c r="A29" s="487" t="s">
        <v>520</v>
      </c>
      <c r="B29" s="488" t="s">
        <v>521</v>
      </c>
      <c r="C29" s="487" t="s">
        <v>339</v>
      </c>
      <c r="D29" s="487">
        <v>70</v>
      </c>
      <c r="E29" s="314">
        <v>0</v>
      </c>
      <c r="F29" s="489">
        <f t="shared" si="2"/>
        <v>0</v>
      </c>
      <c r="G29" s="314">
        <v>0</v>
      </c>
      <c r="H29" s="489">
        <f t="shared" si="3"/>
        <v>0</v>
      </c>
    </row>
    <row r="30" spans="1:8" ht="16.5">
      <c r="A30" s="487" t="s">
        <v>522</v>
      </c>
      <c r="B30" s="488" t="s">
        <v>523</v>
      </c>
      <c r="C30" s="487" t="s">
        <v>339</v>
      </c>
      <c r="D30" s="487">
        <v>40</v>
      </c>
      <c r="E30" s="314">
        <v>0</v>
      </c>
      <c r="F30" s="489">
        <f t="shared" si="2"/>
        <v>0</v>
      </c>
      <c r="G30" s="314">
        <v>0</v>
      </c>
      <c r="H30" s="489">
        <f t="shared" si="3"/>
        <v>0</v>
      </c>
    </row>
    <row r="31" spans="1:8" ht="16.5">
      <c r="A31" s="487" t="s">
        <v>524</v>
      </c>
      <c r="B31" s="488" t="s">
        <v>343</v>
      </c>
      <c r="C31" s="487" t="s">
        <v>339</v>
      </c>
      <c r="D31" s="487">
        <v>15</v>
      </c>
      <c r="E31" s="314">
        <v>0</v>
      </c>
      <c r="F31" s="489">
        <f t="shared" si="2"/>
        <v>0</v>
      </c>
      <c r="G31" s="314">
        <v>0</v>
      </c>
      <c r="H31" s="489">
        <f t="shared" si="3"/>
        <v>0</v>
      </c>
    </row>
    <row r="32" spans="1:8" ht="16.5">
      <c r="A32" s="487" t="s">
        <v>525</v>
      </c>
      <c r="B32" s="488" t="s">
        <v>347</v>
      </c>
      <c r="C32" s="487" t="s">
        <v>127</v>
      </c>
      <c r="D32" s="487">
        <v>3</v>
      </c>
      <c r="E32" s="314">
        <v>0</v>
      </c>
      <c r="F32" s="489">
        <f>D32*E32</f>
        <v>0</v>
      </c>
      <c r="G32" s="314">
        <v>0</v>
      </c>
      <c r="H32" s="489">
        <f>D32*G32</f>
        <v>0</v>
      </c>
    </row>
    <row r="33" spans="1:8" ht="16.5">
      <c r="A33" s="487" t="s">
        <v>526</v>
      </c>
      <c r="B33" s="488" t="s">
        <v>349</v>
      </c>
      <c r="C33" s="493" t="s">
        <v>180</v>
      </c>
      <c r="D33" s="487">
        <v>1</v>
      </c>
      <c r="E33" s="314">
        <v>0</v>
      </c>
      <c r="F33" s="489">
        <f>D33*E33</f>
        <v>0</v>
      </c>
      <c r="G33" s="314"/>
      <c r="H33" s="489">
        <f>D33*G33</f>
        <v>0</v>
      </c>
    </row>
    <row r="34" spans="1:8" ht="16.5">
      <c r="A34" s="487" t="s">
        <v>527</v>
      </c>
      <c r="B34" s="488" t="s">
        <v>351</v>
      </c>
      <c r="C34" s="493" t="s">
        <v>180</v>
      </c>
      <c r="D34" s="487">
        <v>1</v>
      </c>
      <c r="E34" s="314"/>
      <c r="F34" s="489">
        <f>D34*E34</f>
        <v>0</v>
      </c>
      <c r="G34" s="314">
        <v>0</v>
      </c>
      <c r="H34" s="489">
        <f>D34*G34</f>
        <v>0</v>
      </c>
    </row>
    <row r="35" spans="1:8" ht="16.5">
      <c r="A35" s="487" t="s">
        <v>528</v>
      </c>
      <c r="B35" s="488" t="s">
        <v>325</v>
      </c>
      <c r="C35" s="493" t="s">
        <v>180</v>
      </c>
      <c r="D35" s="487">
        <v>1</v>
      </c>
      <c r="E35" s="314"/>
      <c r="F35" s="489">
        <f>D35*E35</f>
        <v>0</v>
      </c>
      <c r="G35" s="314">
        <v>0</v>
      </c>
      <c r="H35" s="489">
        <f>D35*G35</f>
        <v>0</v>
      </c>
    </row>
    <row r="36" spans="1:8" ht="16.5">
      <c r="A36" s="494"/>
      <c r="B36" s="490" t="s">
        <v>353</v>
      </c>
      <c r="C36" s="491"/>
      <c r="D36" s="491"/>
      <c r="E36" s="495"/>
      <c r="F36" s="492">
        <f>SUM(F26:F35)</f>
        <v>0</v>
      </c>
      <c r="G36" s="489"/>
      <c r="H36" s="492">
        <f>SUM(H26:H35)</f>
        <v>0</v>
      </c>
    </row>
    <row r="37" spans="1:8" ht="15.75">
      <c r="A37" s="484" t="s">
        <v>354</v>
      </c>
      <c r="B37" s="485"/>
      <c r="C37" s="485"/>
      <c r="D37" s="485"/>
      <c r="E37" s="485"/>
      <c r="F37" s="485"/>
      <c r="G37" s="496"/>
      <c r="H37" s="496"/>
    </row>
    <row r="38" spans="1:8" ht="16.5">
      <c r="A38" s="487" t="s">
        <v>529</v>
      </c>
      <c r="B38" s="488" t="s">
        <v>356</v>
      </c>
      <c r="C38" s="487" t="s">
        <v>127</v>
      </c>
      <c r="D38" s="487">
        <v>1</v>
      </c>
      <c r="E38" s="325">
        <v>0</v>
      </c>
      <c r="F38" s="489">
        <f>D38*E38</f>
        <v>0</v>
      </c>
      <c r="G38" s="325"/>
      <c r="H38" s="489">
        <f>D38*G38</f>
        <v>0</v>
      </c>
    </row>
    <row r="39" spans="1:8" ht="15.75">
      <c r="A39" s="497"/>
      <c r="B39" s="498" t="s">
        <v>357</v>
      </c>
      <c r="C39" s="499"/>
      <c r="D39" s="499"/>
      <c r="E39" s="526"/>
      <c r="F39" s="501">
        <f>+F36+F24+F18+F7+F38</f>
        <v>0</v>
      </c>
      <c r="G39" s="497"/>
      <c r="H39" s="501">
        <f>+H36+H24+H18+H7+H38</f>
        <v>0</v>
      </c>
    </row>
    <row r="40" spans="1:8" ht="16.5">
      <c r="A40" s="502"/>
      <c r="B40" s="502"/>
      <c r="C40" s="502"/>
      <c r="D40" s="502"/>
      <c r="E40" s="502"/>
      <c r="F40" s="503" t="s">
        <v>358</v>
      </c>
      <c r="G40" s="504"/>
      <c r="H40" s="505" t="s">
        <v>359</v>
      </c>
    </row>
    <row r="41" spans="1:8" ht="21">
      <c r="A41" s="506" t="s">
        <v>357</v>
      </c>
      <c r="B41" s="506"/>
      <c r="C41" s="507">
        <f>SUM(F39,H39)</f>
        <v>0</v>
      </c>
      <c r="D41" s="507"/>
      <c r="E41" s="507"/>
      <c r="F41" s="502"/>
      <c r="G41" s="504"/>
      <c r="H41" s="509"/>
    </row>
  </sheetData>
  <mergeCells count="7">
    <mergeCell ref="A2:H2"/>
    <mergeCell ref="A8:H8"/>
    <mergeCell ref="A19:H19"/>
    <mergeCell ref="A25:H25"/>
    <mergeCell ref="A37:H37"/>
    <mergeCell ref="A41:B41"/>
    <mergeCell ref="C41:E41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1">
      <selection activeCell="D38" sqref="D38"/>
    </sheetView>
  </sheetViews>
  <sheetFormatPr defaultColWidth="9.140625" defaultRowHeight="15"/>
  <cols>
    <col min="3" max="3" width="85.140625" style="0" customWidth="1"/>
    <col min="6" max="6" width="15.421875" style="0" customWidth="1"/>
    <col min="7" max="7" width="15.281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530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SUM(G12:G28)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15.7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531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2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2</v>
      </c>
      <c r="F13" s="402">
        <v>0</v>
      </c>
      <c r="G13" s="403">
        <f>F13*E13</f>
        <v>0</v>
      </c>
    </row>
    <row r="14" spans="1:7" ht="16.5">
      <c r="A14" s="359">
        <v>3</v>
      </c>
      <c r="B14" s="395"/>
      <c r="C14" s="404" t="s">
        <v>372</v>
      </c>
      <c r="D14" s="401" t="s">
        <v>127</v>
      </c>
      <c r="E14" s="359">
        <v>13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2830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800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500</v>
      </c>
      <c r="F19" s="408">
        <v>0</v>
      </c>
      <c r="G19" s="403">
        <f>F19*E19</f>
        <v>0</v>
      </c>
    </row>
    <row r="20" spans="1:7" ht="17.25" thickBot="1">
      <c r="A20" s="395"/>
      <c r="B20" s="409"/>
      <c r="C20" s="407"/>
      <c r="D20" s="401"/>
      <c r="E20" s="401"/>
      <c r="F20" s="408"/>
      <c r="G20" s="403"/>
    </row>
    <row r="21" spans="1:7" ht="17.25" thickBot="1">
      <c r="A21" s="359"/>
      <c r="B21" s="395"/>
      <c r="C21" s="396" t="s">
        <v>377</v>
      </c>
      <c r="D21" s="397"/>
      <c r="E21" s="359"/>
      <c r="F21" s="408"/>
      <c r="G21" s="403"/>
    </row>
    <row r="22" spans="1:7" ht="16.5">
      <c r="A22" s="395">
        <v>7</v>
      </c>
      <c r="B22" s="409"/>
      <c r="C22" s="407" t="s">
        <v>378</v>
      </c>
      <c r="D22" s="401" t="s">
        <v>180</v>
      </c>
      <c r="E22" s="401">
        <v>1</v>
      </c>
      <c r="F22" s="408">
        <v>0</v>
      </c>
      <c r="G22" s="403">
        <f aca="true" t="shared" si="0" ref="G22:G27">F22*E22</f>
        <v>0</v>
      </c>
    </row>
    <row r="23" spans="1:7" ht="16.5">
      <c r="A23" s="395">
        <v>8</v>
      </c>
      <c r="B23" s="409"/>
      <c r="C23" s="407" t="s">
        <v>379</v>
      </c>
      <c r="D23" s="401" t="s">
        <v>180</v>
      </c>
      <c r="E23" s="401">
        <v>1</v>
      </c>
      <c r="F23" s="408">
        <v>0</v>
      </c>
      <c r="G23" s="403">
        <f t="shared" si="0"/>
        <v>0</v>
      </c>
    </row>
    <row r="24" spans="1:7" ht="16.5">
      <c r="A24" s="395">
        <v>9</v>
      </c>
      <c r="B24" s="409"/>
      <c r="C24" s="407" t="s">
        <v>380</v>
      </c>
      <c r="D24" s="401" t="s">
        <v>381</v>
      </c>
      <c r="E24" s="401">
        <v>80</v>
      </c>
      <c r="F24" s="408">
        <v>0</v>
      </c>
      <c r="G24" s="403">
        <f t="shared" si="0"/>
        <v>0</v>
      </c>
    </row>
    <row r="25" spans="1:7" ht="16.5">
      <c r="A25" s="395">
        <v>10</v>
      </c>
      <c r="B25" s="409"/>
      <c r="C25" s="407" t="s">
        <v>382</v>
      </c>
      <c r="D25" s="401" t="s">
        <v>127</v>
      </c>
      <c r="E25" s="401">
        <f>E14*6</f>
        <v>78</v>
      </c>
      <c r="F25" s="408">
        <v>0</v>
      </c>
      <c r="G25" s="403">
        <f t="shared" si="0"/>
        <v>0</v>
      </c>
    </row>
    <row r="26" spans="1:7" ht="16.5">
      <c r="A26" s="395">
        <v>11</v>
      </c>
      <c r="B26" s="409"/>
      <c r="C26" s="407" t="s">
        <v>383</v>
      </c>
      <c r="D26" s="401" t="s">
        <v>127</v>
      </c>
      <c r="E26" s="401">
        <f>E25</f>
        <v>78</v>
      </c>
      <c r="F26" s="408">
        <v>0</v>
      </c>
      <c r="G26" s="403">
        <f t="shared" si="0"/>
        <v>0</v>
      </c>
    </row>
    <row r="27" spans="1:7" ht="16.5">
      <c r="A27" s="395">
        <v>12</v>
      </c>
      <c r="B27" s="409"/>
      <c r="C27" s="407" t="s">
        <v>384</v>
      </c>
      <c r="D27" s="401" t="s">
        <v>180</v>
      </c>
      <c r="E27" s="401">
        <v>1</v>
      </c>
      <c r="F27" s="408">
        <v>0</v>
      </c>
      <c r="G27" s="403">
        <f t="shared" si="0"/>
        <v>0</v>
      </c>
    </row>
    <row r="28" spans="1:7" ht="16.5">
      <c r="A28" s="395"/>
      <c r="B28" s="409"/>
      <c r="C28" s="407"/>
      <c r="D28" s="401"/>
      <c r="E28" s="401"/>
      <c r="F28" s="408"/>
      <c r="G28" s="403"/>
    </row>
    <row r="42" ht="18.75">
      <c r="G42" s="607"/>
    </row>
  </sheetData>
  <conditionalFormatting sqref="C15:D26">
    <cfRule type="expression" priority="6" dxfId="0" stopIfTrue="1">
      <formula>$E15=0</formula>
    </cfRule>
  </conditionalFormatting>
  <conditionalFormatting sqref="C9:D11 C13:D14">
    <cfRule type="expression" priority="5" dxfId="0" stopIfTrue="1">
      <formula>$E9=0</formula>
    </cfRule>
  </conditionalFormatting>
  <conditionalFormatting sqref="C6:D6">
    <cfRule type="expression" priority="4" dxfId="0" stopIfTrue="1">
      <formula>$E6=0</formula>
    </cfRule>
  </conditionalFormatting>
  <conditionalFormatting sqref="C7:D7">
    <cfRule type="expression" priority="3" dxfId="0" stopIfTrue="1">
      <formula>$E7=0</formula>
    </cfRule>
  </conditionalFormatting>
  <conditionalFormatting sqref="C8:D8">
    <cfRule type="expression" priority="2" dxfId="0" stopIfTrue="1">
      <formula>$E8=0</formula>
    </cfRule>
  </conditionalFormatting>
  <conditionalFormatting sqref="C12:D12">
    <cfRule type="expression" priority="1" dxfId="0" stopIfTrue="1">
      <formula>$E12=0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1"/>
  <sheetViews>
    <sheetView workbookViewId="0" topLeftCell="A1">
      <selection activeCell="C3" sqref="C3"/>
    </sheetView>
  </sheetViews>
  <sheetFormatPr defaultColWidth="9.140625" defaultRowHeight="15"/>
  <cols>
    <col min="3" max="3" width="73.140625" style="0" customWidth="1"/>
  </cols>
  <sheetData>
    <row r="1" spans="3:7" ht="38.25" customHeight="1">
      <c r="C1" s="41" t="s">
        <v>46</v>
      </c>
      <c r="D1" s="21"/>
      <c r="E1" s="22"/>
      <c r="F1" s="23"/>
      <c r="G1" s="24"/>
    </row>
    <row r="2" spans="3:7" ht="15">
      <c r="C2" s="21" t="s">
        <v>32</v>
      </c>
      <c r="D2" s="21"/>
      <c r="E2" s="22"/>
      <c r="F2" s="23"/>
      <c r="G2" s="24"/>
    </row>
    <row r="3" spans="3:7" ht="30">
      <c r="C3" s="43" t="s">
        <v>64</v>
      </c>
      <c r="D3" s="21"/>
      <c r="E3" s="22"/>
      <c r="F3" s="23"/>
      <c r="G3" s="24"/>
    </row>
    <row r="4" spans="3:7" ht="15">
      <c r="C4" s="25"/>
      <c r="D4" s="26"/>
      <c r="E4" s="27"/>
      <c r="F4" s="28"/>
      <c r="G4" s="29"/>
    </row>
    <row r="5" spans="3:7" ht="15">
      <c r="C5" s="21" t="s">
        <v>33</v>
      </c>
      <c r="D5" s="21"/>
      <c r="E5" s="22"/>
      <c r="F5" s="23"/>
      <c r="G5" s="24"/>
    </row>
    <row r="6" spans="3:7" ht="24.75">
      <c r="C6" s="30" t="s">
        <v>47</v>
      </c>
      <c r="D6" s="21"/>
      <c r="E6" s="22"/>
      <c r="F6" s="23"/>
      <c r="G6" s="24"/>
    </row>
    <row r="7" spans="3:7" ht="15">
      <c r="C7" s="31"/>
      <c r="D7" s="21"/>
      <c r="E7" s="22"/>
      <c r="F7" s="23"/>
      <c r="G7" s="24"/>
    </row>
    <row r="8" spans="3:7" ht="15">
      <c r="C8" s="31"/>
      <c r="D8" s="21"/>
      <c r="E8" s="22"/>
      <c r="F8" s="23"/>
      <c r="G8" s="24"/>
    </row>
    <row r="9" spans="3:7" ht="15">
      <c r="C9" s="31"/>
      <c r="D9" s="21"/>
      <c r="E9" s="22"/>
      <c r="F9" s="23"/>
      <c r="G9" s="24"/>
    </row>
    <row r="10" spans="3:7" ht="15">
      <c r="C10" s="32"/>
      <c r="D10" s="26"/>
      <c r="E10" s="27"/>
      <c r="F10" s="28"/>
      <c r="G10" s="29"/>
    </row>
    <row r="11" spans="3:7" ht="15">
      <c r="C11" s="33" t="s">
        <v>48</v>
      </c>
      <c r="D11" s="26"/>
      <c r="E11" s="27"/>
      <c r="F11" s="28"/>
      <c r="G11" s="34"/>
    </row>
    <row r="12" spans="3:7" ht="15">
      <c r="C12" s="35" t="s">
        <v>49</v>
      </c>
      <c r="D12" s="26"/>
      <c r="E12" s="27"/>
      <c r="F12" s="28"/>
      <c r="G12" s="34"/>
    </row>
    <row r="13" spans="3:7" ht="15">
      <c r="C13" s="36" t="s">
        <v>50</v>
      </c>
      <c r="D13" s="26" t="s">
        <v>51</v>
      </c>
      <c r="E13" s="27"/>
      <c r="F13" s="28"/>
      <c r="G13" s="34">
        <f>'[1]VV 1.NP NB '!G27</f>
        <v>0</v>
      </c>
    </row>
    <row r="14" spans="3:7" ht="15">
      <c r="C14" s="36" t="s">
        <v>52</v>
      </c>
      <c r="D14" s="26" t="s">
        <v>51</v>
      </c>
      <c r="E14" s="27"/>
      <c r="F14" s="28"/>
      <c r="G14" s="34">
        <f>'[1]VV NB 153'!G27</f>
        <v>0</v>
      </c>
    </row>
    <row r="15" spans="3:7" ht="15">
      <c r="C15" s="36" t="s">
        <v>53</v>
      </c>
      <c r="D15" s="26" t="s">
        <v>51</v>
      </c>
      <c r="E15" s="27"/>
      <c r="F15" s="28"/>
      <c r="G15" s="34">
        <f>'[1]VV NB 177a'!G23</f>
        <v>0</v>
      </c>
    </row>
    <row r="16" spans="3:7" ht="15">
      <c r="C16" s="36" t="s">
        <v>54</v>
      </c>
      <c r="D16" s="26" t="s">
        <v>51</v>
      </c>
      <c r="E16" s="27"/>
      <c r="F16" s="28"/>
      <c r="G16" s="34">
        <f>'[1]VV NB 177b'!G23</f>
        <v>0</v>
      </c>
    </row>
    <row r="17" spans="3:7" ht="15">
      <c r="C17" s="35" t="s">
        <v>55</v>
      </c>
      <c r="D17" s="26" t="s">
        <v>51</v>
      </c>
      <c r="E17" s="27"/>
      <c r="F17" s="28"/>
      <c r="G17" s="37">
        <f>'[1]VV NB 225'!G25</f>
        <v>0</v>
      </c>
    </row>
    <row r="18" spans="3:7" ht="15">
      <c r="C18" s="35" t="s">
        <v>56</v>
      </c>
      <c r="D18" s="26" t="s">
        <v>51</v>
      </c>
      <c r="E18" s="27"/>
      <c r="F18" s="28"/>
      <c r="G18" s="37">
        <f>'[1]VV NB 260'!G25</f>
        <v>0</v>
      </c>
    </row>
    <row r="19" spans="3:7" ht="15">
      <c r="C19" s="35" t="s">
        <v>57</v>
      </c>
      <c r="D19" s="26" t="s">
        <v>51</v>
      </c>
      <c r="E19" s="27"/>
      <c r="F19" s="28"/>
      <c r="G19" s="37">
        <f>'[1]VV SB 126'!G25</f>
        <v>0</v>
      </c>
    </row>
    <row r="20" spans="3:7" ht="15">
      <c r="C20" s="38"/>
      <c r="D20" s="26"/>
      <c r="E20" s="27"/>
      <c r="F20" s="28"/>
      <c r="G20" s="34"/>
    </row>
    <row r="21" spans="3:7" ht="15">
      <c r="C21" s="32" t="s">
        <v>58</v>
      </c>
      <c r="D21" s="26" t="s">
        <v>51</v>
      </c>
      <c r="E21" s="27"/>
      <c r="F21" s="28"/>
      <c r="G21" s="29">
        <f>SUM(G13:G20)</f>
        <v>0</v>
      </c>
    </row>
    <row r="22" spans="3:7" ht="15">
      <c r="C22" s="35" t="s">
        <v>59</v>
      </c>
      <c r="D22" s="26"/>
      <c r="E22" s="27"/>
      <c r="F22" s="28"/>
      <c r="G22" s="39"/>
    </row>
    <row r="23" spans="3:7" ht="15">
      <c r="C23" s="38" t="s">
        <v>60</v>
      </c>
      <c r="D23" s="26" t="s">
        <v>51</v>
      </c>
      <c r="E23" s="27"/>
      <c r="F23" s="28"/>
      <c r="G23" s="34">
        <f>G21*0.025</f>
        <v>0</v>
      </c>
    </row>
    <row r="24" spans="3:7" ht="15">
      <c r="C24" s="38"/>
      <c r="D24" s="26"/>
      <c r="E24" s="27"/>
      <c r="F24" s="28"/>
      <c r="G24" s="34"/>
    </row>
    <row r="25" spans="3:7" ht="15">
      <c r="C25" s="38"/>
      <c r="D25" s="26"/>
      <c r="E25" s="27"/>
      <c r="F25" s="28"/>
      <c r="G25" s="34"/>
    </row>
    <row r="26" spans="3:7" ht="15">
      <c r="C26" s="40" t="s">
        <v>61</v>
      </c>
      <c r="D26" s="26" t="s">
        <v>51</v>
      </c>
      <c r="E26" s="27"/>
      <c r="F26" s="28"/>
      <c r="G26" s="29">
        <f>SUM(G21:G25)</f>
        <v>0</v>
      </c>
    </row>
    <row r="27" spans="3:7" ht="15">
      <c r="C27" s="38"/>
      <c r="D27" s="26"/>
      <c r="E27" s="27"/>
      <c r="F27" s="28"/>
      <c r="G27" s="34"/>
    </row>
    <row r="28" spans="3:7" ht="15">
      <c r="C28" s="38"/>
      <c r="D28" s="26"/>
      <c r="E28" s="27"/>
      <c r="F28" s="28"/>
      <c r="G28" s="34"/>
    </row>
    <row r="29" spans="3:7" ht="15">
      <c r="C29" s="40" t="s">
        <v>62</v>
      </c>
      <c r="D29" s="26" t="s">
        <v>51</v>
      </c>
      <c r="E29" s="27"/>
      <c r="F29" s="28"/>
      <c r="G29" s="34">
        <f>G26*0.21</f>
        <v>0</v>
      </c>
    </row>
    <row r="30" spans="3:7" ht="15">
      <c r="C30" s="40"/>
      <c r="D30" s="26"/>
      <c r="E30" s="27"/>
      <c r="F30" s="28"/>
      <c r="G30" s="34"/>
    </row>
    <row r="31" spans="3:7" ht="15">
      <c r="C31" s="32" t="s">
        <v>63</v>
      </c>
      <c r="D31" s="26" t="s">
        <v>51</v>
      </c>
      <c r="E31" s="27"/>
      <c r="F31" s="28"/>
      <c r="G31" s="29">
        <f>SUM(G26:G30)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 topLeftCell="A1">
      <selection activeCell="Q19" sqref="Q19"/>
    </sheetView>
  </sheetViews>
  <sheetFormatPr defaultColWidth="9.140625" defaultRowHeight="15"/>
  <cols>
    <col min="2" max="2" width="10.00390625" style="0" bestFit="1" customWidth="1"/>
    <col min="3" max="3" width="63.57421875" style="0" customWidth="1"/>
    <col min="5" max="8" width="9.28125" style="0" bestFit="1" customWidth="1"/>
  </cols>
  <sheetData>
    <row r="1" spans="1:9" ht="36" customHeight="1">
      <c r="A1" s="44"/>
      <c r="B1" s="273"/>
      <c r="C1" s="218" t="s">
        <v>46</v>
      </c>
      <c r="D1" s="50"/>
      <c r="E1" s="46"/>
      <c r="F1" s="47"/>
      <c r="G1" s="48"/>
      <c r="H1" s="274"/>
      <c r="I1" s="275"/>
    </row>
    <row r="2" spans="1:9" ht="15">
      <c r="A2" s="44"/>
      <c r="B2" s="273"/>
      <c r="C2" s="219" t="s">
        <v>32</v>
      </c>
      <c r="D2" s="50"/>
      <c r="E2" s="46"/>
      <c r="F2" s="47"/>
      <c r="G2" s="48"/>
      <c r="H2" s="274"/>
      <c r="I2" s="275"/>
    </row>
    <row r="3" spans="1:9" ht="45">
      <c r="A3" s="44"/>
      <c r="B3" s="273"/>
      <c r="C3" s="223" t="s">
        <v>237</v>
      </c>
      <c r="D3" s="50"/>
      <c r="E3" s="46"/>
      <c r="F3" s="47"/>
      <c r="G3" s="48"/>
      <c r="H3" s="274"/>
      <c r="I3" s="275"/>
    </row>
    <row r="4" spans="1:9" ht="15">
      <c r="A4" s="44"/>
      <c r="B4" s="273"/>
      <c r="C4" s="223"/>
      <c r="D4" s="50"/>
      <c r="E4" s="46"/>
      <c r="F4" s="47"/>
      <c r="G4" s="48"/>
      <c r="H4" s="274"/>
      <c r="I4" s="275"/>
    </row>
    <row r="5" spans="1:9" ht="15">
      <c r="A5" s="44"/>
      <c r="B5" s="273"/>
      <c r="C5" s="223" t="s">
        <v>50</v>
      </c>
      <c r="D5" s="50"/>
      <c r="E5" s="46"/>
      <c r="F5" s="47"/>
      <c r="G5" s="48"/>
      <c r="H5" s="274"/>
      <c r="I5" s="275"/>
    </row>
    <row r="6" spans="1:9" ht="15">
      <c r="A6" s="52"/>
      <c r="B6" s="276"/>
      <c r="C6" s="225"/>
      <c r="D6" s="277"/>
      <c r="E6" s="56"/>
      <c r="F6" s="57"/>
      <c r="G6" s="58"/>
      <c r="H6" s="278"/>
      <c r="I6" s="275"/>
    </row>
    <row r="7" spans="1:9" ht="15">
      <c r="A7" s="44"/>
      <c r="B7" s="273"/>
      <c r="C7" s="50" t="s">
        <v>33</v>
      </c>
      <c r="D7" s="50"/>
      <c r="E7" s="46"/>
      <c r="F7" s="47"/>
      <c r="G7" s="48"/>
      <c r="H7" s="274"/>
      <c r="I7" s="275"/>
    </row>
    <row r="8" spans="1:9" ht="24.75">
      <c r="A8" s="44"/>
      <c r="B8" s="273"/>
      <c r="C8" s="60" t="s">
        <v>47</v>
      </c>
      <c r="D8" s="50"/>
      <c r="E8" s="46"/>
      <c r="F8" s="47"/>
      <c r="G8" s="48"/>
      <c r="H8" s="274"/>
      <c r="I8" s="275"/>
    </row>
    <row r="9" spans="1:9" ht="15">
      <c r="A9" s="44"/>
      <c r="B9" s="273"/>
      <c r="C9" s="61"/>
      <c r="D9" s="50"/>
      <c r="E9" s="46"/>
      <c r="F9" s="47"/>
      <c r="G9" s="48"/>
      <c r="H9" s="274"/>
      <c r="I9" s="275"/>
    </row>
    <row r="10" spans="1:9" ht="15">
      <c r="A10" s="44"/>
      <c r="B10" s="273"/>
      <c r="C10" s="61"/>
      <c r="D10" s="50"/>
      <c r="E10" s="46"/>
      <c r="F10" s="47"/>
      <c r="G10" s="48"/>
      <c r="H10" s="274"/>
      <c r="I10" s="275"/>
    </row>
    <row r="11" spans="1:9" ht="15">
      <c r="A11" s="44"/>
      <c r="B11" s="273"/>
      <c r="C11" s="61"/>
      <c r="D11" s="50"/>
      <c r="E11" s="46"/>
      <c r="F11" s="47"/>
      <c r="G11" s="48"/>
      <c r="H11" s="274"/>
      <c r="I11" s="275"/>
    </row>
    <row r="12" spans="1:9" ht="15">
      <c r="A12" s="52"/>
      <c r="B12" s="276"/>
      <c r="C12" s="62"/>
      <c r="D12" s="277"/>
      <c r="E12" s="56"/>
      <c r="F12" s="57"/>
      <c r="G12" s="58"/>
      <c r="H12" s="278"/>
      <c r="I12" s="275"/>
    </row>
    <row r="13" spans="1:9" ht="15">
      <c r="A13" s="52"/>
      <c r="B13" s="279"/>
      <c r="C13" s="64" t="s">
        <v>65</v>
      </c>
      <c r="D13" s="277"/>
      <c r="E13" s="56"/>
      <c r="F13" s="57"/>
      <c r="G13" s="65"/>
      <c r="H13" s="278"/>
      <c r="I13" s="275"/>
    </row>
    <row r="14" spans="1:9" ht="15">
      <c r="A14" s="280" t="s">
        <v>66</v>
      </c>
      <c r="B14" s="279"/>
      <c r="C14" s="66" t="s">
        <v>49</v>
      </c>
      <c r="D14" s="277"/>
      <c r="E14" s="56"/>
      <c r="F14" s="57"/>
      <c r="G14" s="65"/>
      <c r="H14" s="278"/>
      <c r="I14" s="275"/>
    </row>
    <row r="15" spans="1:9" ht="15">
      <c r="A15" s="280" t="s">
        <v>67</v>
      </c>
      <c r="B15" s="279"/>
      <c r="C15" s="67" t="s">
        <v>68</v>
      </c>
      <c r="D15" s="277" t="s">
        <v>51</v>
      </c>
      <c r="E15" s="56"/>
      <c r="F15" s="57"/>
      <c r="G15" s="65">
        <f>G49</f>
        <v>0</v>
      </c>
      <c r="H15" s="278"/>
      <c r="I15" s="275"/>
    </row>
    <row r="16" spans="1:9" ht="15">
      <c r="A16" s="280" t="s">
        <v>69</v>
      </c>
      <c r="B16" s="276"/>
      <c r="C16" s="67" t="s">
        <v>70</v>
      </c>
      <c r="D16" s="277" t="s">
        <v>51</v>
      </c>
      <c r="E16" s="56"/>
      <c r="F16" s="57"/>
      <c r="G16" s="65">
        <f>G58</f>
        <v>0</v>
      </c>
      <c r="H16" s="278"/>
      <c r="I16" s="275"/>
    </row>
    <row r="17" spans="1:9" ht="15">
      <c r="A17" s="280" t="s">
        <v>71</v>
      </c>
      <c r="B17" s="276"/>
      <c r="C17" s="67" t="s">
        <v>72</v>
      </c>
      <c r="D17" s="277" t="s">
        <v>51</v>
      </c>
      <c r="E17" s="56"/>
      <c r="F17" s="57"/>
      <c r="G17" s="65">
        <f>G70</f>
        <v>0</v>
      </c>
      <c r="H17" s="278"/>
      <c r="I17" s="275"/>
    </row>
    <row r="18" spans="1:9" ht="15">
      <c r="A18" s="280" t="s">
        <v>73</v>
      </c>
      <c r="B18" s="276"/>
      <c r="C18" s="67" t="s">
        <v>74</v>
      </c>
      <c r="D18" s="277" t="s">
        <v>51</v>
      </c>
      <c r="E18" s="56"/>
      <c r="F18" s="57"/>
      <c r="G18" s="65">
        <f>G79</f>
        <v>0</v>
      </c>
      <c r="H18" s="278"/>
      <c r="I18" s="275"/>
    </row>
    <row r="19" spans="1:9" ht="15">
      <c r="A19" s="280" t="s">
        <v>75</v>
      </c>
      <c r="B19" s="276"/>
      <c r="C19" s="68" t="s">
        <v>76</v>
      </c>
      <c r="D19" s="277" t="s">
        <v>51</v>
      </c>
      <c r="E19" s="56"/>
      <c r="F19" s="57"/>
      <c r="G19" s="69">
        <f>G93</f>
        <v>0</v>
      </c>
      <c r="H19" s="281"/>
      <c r="I19" s="275"/>
    </row>
    <row r="20" spans="1:9" ht="15">
      <c r="A20" s="280" t="s">
        <v>77</v>
      </c>
      <c r="B20" s="276"/>
      <c r="C20" s="68" t="s">
        <v>78</v>
      </c>
      <c r="D20" s="277" t="s">
        <v>51</v>
      </c>
      <c r="E20" s="56"/>
      <c r="F20" s="57"/>
      <c r="G20" s="69">
        <f>G99</f>
        <v>0</v>
      </c>
      <c r="H20" s="281"/>
      <c r="I20" s="275"/>
    </row>
    <row r="21" spans="1:9" ht="15">
      <c r="A21" s="280" t="s">
        <v>79</v>
      </c>
      <c r="B21" s="276"/>
      <c r="C21" s="68" t="s">
        <v>80</v>
      </c>
      <c r="D21" s="277" t="s">
        <v>51</v>
      </c>
      <c r="E21" s="56"/>
      <c r="F21" s="57"/>
      <c r="G21" s="69">
        <f>G107</f>
        <v>0</v>
      </c>
      <c r="H21" s="281"/>
      <c r="I21" s="275"/>
    </row>
    <row r="22" spans="1:9" ht="15">
      <c r="A22" s="280" t="s">
        <v>81</v>
      </c>
      <c r="B22" s="276"/>
      <c r="C22" s="71" t="s">
        <v>82</v>
      </c>
      <c r="D22" s="282" t="s">
        <v>51</v>
      </c>
      <c r="E22" s="73"/>
      <c r="F22" s="74"/>
      <c r="G22" s="69">
        <f>'[1]VV EL silnoproud 1.NP NB'!C29</f>
        <v>0</v>
      </c>
      <c r="H22" s="281"/>
      <c r="I22" s="275"/>
    </row>
    <row r="23" spans="1:9" ht="15">
      <c r="A23" s="280" t="s">
        <v>83</v>
      </c>
      <c r="B23" s="276"/>
      <c r="C23" s="68" t="s">
        <v>84</v>
      </c>
      <c r="D23" s="277" t="s">
        <v>51</v>
      </c>
      <c r="E23" s="56"/>
      <c r="F23" s="57"/>
      <c r="G23" s="69">
        <f>'[1]VV EL slaboproud 1.NP NB'!G5</f>
        <v>0</v>
      </c>
      <c r="H23" s="281"/>
      <c r="I23" s="275"/>
    </row>
    <row r="24" spans="1:9" ht="15">
      <c r="A24" s="280" t="s">
        <v>85</v>
      </c>
      <c r="B24" s="276"/>
      <c r="C24" s="68" t="s">
        <v>86</v>
      </c>
      <c r="D24" s="277" t="s">
        <v>51</v>
      </c>
      <c r="E24" s="56"/>
      <c r="F24" s="57"/>
      <c r="G24" s="69">
        <f>'[1]VV ZTI 1.NP NB'!K9</f>
        <v>0</v>
      </c>
      <c r="H24" s="281"/>
      <c r="I24" s="275"/>
    </row>
    <row r="25" spans="1:9" ht="15">
      <c r="A25" s="280" t="s">
        <v>87</v>
      </c>
      <c r="B25" s="276"/>
      <c r="C25" s="68"/>
      <c r="D25" s="277"/>
      <c r="E25" s="56"/>
      <c r="F25" s="57"/>
      <c r="G25" s="69"/>
      <c r="H25" s="281"/>
      <c r="I25" s="275"/>
    </row>
    <row r="26" spans="1:9" ht="15">
      <c r="A26" s="280" t="s">
        <v>88</v>
      </c>
      <c r="B26" s="276"/>
      <c r="C26" s="75"/>
      <c r="D26" s="277"/>
      <c r="E26" s="56"/>
      <c r="F26" s="57"/>
      <c r="G26" s="65"/>
      <c r="H26" s="278"/>
      <c r="I26" s="275"/>
    </row>
    <row r="27" spans="1:9" ht="15">
      <c r="A27" s="280" t="s">
        <v>89</v>
      </c>
      <c r="B27" s="276"/>
      <c r="C27" s="62" t="s">
        <v>58</v>
      </c>
      <c r="D27" s="277" t="s">
        <v>51</v>
      </c>
      <c r="E27" s="56"/>
      <c r="F27" s="57"/>
      <c r="G27" s="58">
        <f>SUM(G15:G26)</f>
        <v>0</v>
      </c>
      <c r="H27" s="278"/>
      <c r="I27" s="275"/>
    </row>
    <row r="28" spans="1:9" ht="15">
      <c r="A28" s="280" t="s">
        <v>90</v>
      </c>
      <c r="B28" s="276"/>
      <c r="C28" s="66" t="s">
        <v>59</v>
      </c>
      <c r="D28" s="277"/>
      <c r="E28" s="56"/>
      <c r="F28" s="57"/>
      <c r="G28" s="76"/>
      <c r="H28" s="278"/>
      <c r="I28" s="275"/>
    </row>
    <row r="29" spans="1:9" ht="15">
      <c r="A29" s="280" t="s">
        <v>91</v>
      </c>
      <c r="B29" s="276"/>
      <c r="C29" s="75" t="s">
        <v>60</v>
      </c>
      <c r="D29" s="277" t="s">
        <v>51</v>
      </c>
      <c r="E29" s="56"/>
      <c r="F29" s="57"/>
      <c r="G29" s="65">
        <f>G27*0.025</f>
        <v>0</v>
      </c>
      <c r="H29" s="278"/>
      <c r="I29" s="275"/>
    </row>
    <row r="30" spans="1:9" ht="15">
      <c r="A30" s="280" t="s">
        <v>92</v>
      </c>
      <c r="B30" s="276"/>
      <c r="C30" s="75"/>
      <c r="D30" s="277"/>
      <c r="E30" s="56"/>
      <c r="F30" s="57"/>
      <c r="G30" s="65"/>
      <c r="H30" s="278"/>
      <c r="I30" s="275"/>
    </row>
    <row r="31" spans="1:9" ht="15">
      <c r="A31" s="280" t="s">
        <v>93</v>
      </c>
      <c r="B31" s="276"/>
      <c r="C31" s="75"/>
      <c r="D31" s="277"/>
      <c r="E31" s="56"/>
      <c r="F31" s="57"/>
      <c r="G31" s="65"/>
      <c r="H31" s="278"/>
      <c r="I31" s="275"/>
    </row>
    <row r="32" spans="1:9" ht="15">
      <c r="A32" s="280" t="s">
        <v>94</v>
      </c>
      <c r="B32" s="276"/>
      <c r="C32" s="77" t="s">
        <v>61</v>
      </c>
      <c r="D32" s="277" t="s">
        <v>51</v>
      </c>
      <c r="E32" s="56"/>
      <c r="F32" s="57"/>
      <c r="G32" s="58">
        <f>SUM(G27:G31)</f>
        <v>0</v>
      </c>
      <c r="H32" s="278"/>
      <c r="I32" s="275"/>
    </row>
    <row r="33" spans="1:9" ht="15">
      <c r="A33" s="280" t="s">
        <v>95</v>
      </c>
      <c r="B33" s="276"/>
      <c r="C33" s="75"/>
      <c r="D33" s="277"/>
      <c r="E33" s="56"/>
      <c r="F33" s="57"/>
      <c r="G33" s="65"/>
      <c r="H33" s="278"/>
      <c r="I33" s="275"/>
    </row>
    <row r="34" spans="1:9" ht="15">
      <c r="A34" s="280" t="s">
        <v>96</v>
      </c>
      <c r="B34" s="276"/>
      <c r="C34" s="75"/>
      <c r="D34" s="277"/>
      <c r="E34" s="56"/>
      <c r="F34" s="57"/>
      <c r="G34" s="65"/>
      <c r="H34" s="278"/>
      <c r="I34" s="275"/>
    </row>
    <row r="35" spans="1:9" ht="15">
      <c r="A35" s="280" t="s">
        <v>97</v>
      </c>
      <c r="B35" s="276"/>
      <c r="C35" s="77" t="s">
        <v>62</v>
      </c>
      <c r="D35" s="277" t="s">
        <v>51</v>
      </c>
      <c r="E35" s="56"/>
      <c r="F35" s="57"/>
      <c r="G35" s="65">
        <f>G32*0.21</f>
        <v>0</v>
      </c>
      <c r="H35" s="278"/>
      <c r="I35" s="275"/>
    </row>
    <row r="36" spans="1:9" ht="15">
      <c r="A36" s="280" t="s">
        <v>98</v>
      </c>
      <c r="B36" s="276"/>
      <c r="C36" s="77"/>
      <c r="D36" s="277"/>
      <c r="E36" s="56"/>
      <c r="F36" s="57"/>
      <c r="G36" s="65"/>
      <c r="H36" s="278"/>
      <c r="I36" s="275"/>
    </row>
    <row r="37" spans="1:9" ht="15">
      <c r="A37" s="280" t="s">
        <v>99</v>
      </c>
      <c r="B37" s="276"/>
      <c r="C37" s="62" t="s">
        <v>63</v>
      </c>
      <c r="D37" s="277" t="s">
        <v>51</v>
      </c>
      <c r="E37" s="56"/>
      <c r="F37" s="57"/>
      <c r="G37" s="58">
        <f>SUM(G32:G36)</f>
        <v>0</v>
      </c>
      <c r="H37" s="278"/>
      <c r="I37" s="275"/>
    </row>
    <row r="38" spans="1:9" ht="15">
      <c r="A38" s="280" t="s">
        <v>100</v>
      </c>
      <c r="B38" s="276"/>
      <c r="C38" s="62"/>
      <c r="D38" s="277"/>
      <c r="E38" s="56"/>
      <c r="F38" s="57"/>
      <c r="G38" s="58"/>
      <c r="H38" s="278"/>
      <c r="I38" s="275"/>
    </row>
    <row r="39" spans="1:9" ht="15">
      <c r="A39" s="280" t="s">
        <v>101</v>
      </c>
      <c r="B39" s="276"/>
      <c r="C39" s="62"/>
      <c r="D39" s="277"/>
      <c r="E39" s="56"/>
      <c r="F39" s="57"/>
      <c r="G39" s="58"/>
      <c r="H39" s="278"/>
      <c r="I39" s="275"/>
    </row>
    <row r="40" spans="1:9" ht="15">
      <c r="A40" s="280" t="s">
        <v>102</v>
      </c>
      <c r="B40" s="276"/>
      <c r="C40" s="62"/>
      <c r="D40" s="277"/>
      <c r="E40" s="56"/>
      <c r="F40" s="57"/>
      <c r="G40" s="58"/>
      <c r="H40" s="278"/>
      <c r="I40" s="275"/>
    </row>
    <row r="41" spans="1:9" ht="15">
      <c r="A41" s="280" t="s">
        <v>103</v>
      </c>
      <c r="B41" s="276"/>
      <c r="C41" s="62"/>
      <c r="D41" s="277"/>
      <c r="E41" s="56"/>
      <c r="F41" s="57"/>
      <c r="G41" s="58"/>
      <c r="H41" s="278"/>
      <c r="I41" s="275"/>
    </row>
    <row r="42" spans="1:9" ht="24">
      <c r="A42" s="280" t="s">
        <v>104</v>
      </c>
      <c r="B42" s="283" t="s">
        <v>105</v>
      </c>
      <c r="C42" s="283" t="s">
        <v>106</v>
      </c>
      <c r="D42" s="283" t="s">
        <v>107</v>
      </c>
      <c r="E42" s="284" t="s">
        <v>108</v>
      </c>
      <c r="F42" s="285" t="s">
        <v>109</v>
      </c>
      <c r="G42" s="286" t="s">
        <v>110</v>
      </c>
      <c r="H42" s="287" t="s">
        <v>292</v>
      </c>
      <c r="I42" s="275"/>
    </row>
    <row r="43" spans="1:9" ht="72">
      <c r="A43" s="280" t="s">
        <v>112</v>
      </c>
      <c r="B43" s="276"/>
      <c r="C43" s="82" t="s">
        <v>113</v>
      </c>
      <c r="D43" s="277"/>
      <c r="E43" s="56"/>
      <c r="F43" s="57"/>
      <c r="G43" s="65"/>
      <c r="H43" s="278"/>
      <c r="I43" s="275"/>
    </row>
    <row r="44" spans="1:9" ht="24.75">
      <c r="A44" s="280" t="s">
        <v>114</v>
      </c>
      <c r="B44" s="276"/>
      <c r="C44" s="83" t="s">
        <v>115</v>
      </c>
      <c r="D44" s="277"/>
      <c r="E44" s="56"/>
      <c r="F44" s="57"/>
      <c r="G44" s="65"/>
      <c r="H44" s="278"/>
      <c r="I44" s="275"/>
    </row>
    <row r="45" spans="1:9" ht="24.75">
      <c r="A45" s="280" t="s">
        <v>116</v>
      </c>
      <c r="B45" s="276"/>
      <c r="C45" s="84" t="s">
        <v>117</v>
      </c>
      <c r="D45" s="277"/>
      <c r="E45" s="56"/>
      <c r="F45" s="57"/>
      <c r="G45" s="65"/>
      <c r="H45" s="278"/>
      <c r="I45" s="275"/>
    </row>
    <row r="46" spans="1:9" ht="15">
      <c r="A46" s="280" t="s">
        <v>118</v>
      </c>
      <c r="B46" s="276"/>
      <c r="C46" s="84"/>
      <c r="D46" s="277"/>
      <c r="E46" s="56"/>
      <c r="F46" s="57"/>
      <c r="G46" s="65"/>
      <c r="H46" s="278"/>
      <c r="I46" s="275"/>
    </row>
    <row r="47" spans="1:9" ht="15">
      <c r="A47" s="280" t="s">
        <v>119</v>
      </c>
      <c r="B47" s="276"/>
      <c r="C47" s="85" t="s">
        <v>120</v>
      </c>
      <c r="D47" s="277"/>
      <c r="E47" s="56"/>
      <c r="F47" s="57"/>
      <c r="G47" s="65"/>
      <c r="H47" s="278"/>
      <c r="I47" s="275"/>
    </row>
    <row r="48" spans="1:9" ht="15">
      <c r="A48" s="280" t="s">
        <v>121</v>
      </c>
      <c r="B48" s="276"/>
      <c r="C48" s="85"/>
      <c r="D48" s="277"/>
      <c r="E48" s="56"/>
      <c r="F48" s="57"/>
      <c r="G48" s="65"/>
      <c r="H48" s="278"/>
      <c r="I48" s="275"/>
    </row>
    <row r="49" spans="1:9" ht="15">
      <c r="A49" s="280" t="s">
        <v>122</v>
      </c>
      <c r="B49" s="86"/>
      <c r="C49" s="288" t="s">
        <v>123</v>
      </c>
      <c r="D49" s="289" t="s">
        <v>51</v>
      </c>
      <c r="E49" s="89" t="s">
        <v>124</v>
      </c>
      <c r="F49" s="90"/>
      <c r="G49" s="91">
        <f>SUM(G50:G54)</f>
        <v>0</v>
      </c>
      <c r="H49" s="89"/>
      <c r="I49" s="275"/>
    </row>
    <row r="50" spans="1:9" ht="24.75">
      <c r="A50" s="280" t="s">
        <v>125</v>
      </c>
      <c r="B50" s="86"/>
      <c r="C50" s="71" t="s">
        <v>126</v>
      </c>
      <c r="D50" s="290" t="s">
        <v>127</v>
      </c>
      <c r="E50" s="73">
        <v>2</v>
      </c>
      <c r="F50" s="90">
        <v>0</v>
      </c>
      <c r="G50" s="94">
        <f aca="true" t="shared" si="0" ref="G50:G55">E50*F50</f>
        <v>0</v>
      </c>
      <c r="H50" s="107"/>
      <c r="I50" s="275"/>
    </row>
    <row r="51" spans="1:9" ht="36.75">
      <c r="A51" s="280" t="s">
        <v>128</v>
      </c>
      <c r="B51" s="96"/>
      <c r="C51" s="71" t="s">
        <v>129</v>
      </c>
      <c r="D51" s="282" t="s">
        <v>130</v>
      </c>
      <c r="E51" s="73">
        <f>5.86*5.9-0.5*0.4*2-(0.15*0.5)*5</f>
        <v>33.79900000000001</v>
      </c>
      <c r="F51" s="74">
        <v>0</v>
      </c>
      <c r="G51" s="94">
        <f t="shared" si="0"/>
        <v>0</v>
      </c>
      <c r="H51" s="107"/>
      <c r="I51" s="275"/>
    </row>
    <row r="52" spans="1:9" ht="24">
      <c r="A52" s="280" t="s">
        <v>131</v>
      </c>
      <c r="B52" s="96" t="s">
        <v>132</v>
      </c>
      <c r="C52" s="97" t="s">
        <v>133</v>
      </c>
      <c r="D52" s="282" t="s">
        <v>134</v>
      </c>
      <c r="E52" s="73">
        <v>4</v>
      </c>
      <c r="F52" s="74">
        <v>0</v>
      </c>
      <c r="G52" s="94">
        <f t="shared" si="0"/>
        <v>0</v>
      </c>
      <c r="H52" s="107"/>
      <c r="I52" s="275"/>
    </row>
    <row r="53" spans="1:9" ht="48">
      <c r="A53" s="280" t="s">
        <v>135</v>
      </c>
      <c r="B53" s="96">
        <v>619996145</v>
      </c>
      <c r="C53" s="97" t="s">
        <v>136</v>
      </c>
      <c r="D53" s="282" t="s">
        <v>130</v>
      </c>
      <c r="E53" s="73">
        <f>2.5*2.1*2+1*2*2</f>
        <v>14.5</v>
      </c>
      <c r="F53" s="74">
        <v>0</v>
      </c>
      <c r="G53" s="94">
        <f t="shared" si="0"/>
        <v>0</v>
      </c>
      <c r="H53" s="107"/>
      <c r="I53" s="275"/>
    </row>
    <row r="54" spans="1:9" ht="24.75">
      <c r="A54" s="280" t="s">
        <v>137</v>
      </c>
      <c r="B54" s="96" t="s">
        <v>138</v>
      </c>
      <c r="C54" s="99" t="s">
        <v>139</v>
      </c>
      <c r="D54" s="282" t="s">
        <v>127</v>
      </c>
      <c r="E54" s="73">
        <v>1</v>
      </c>
      <c r="F54" s="74">
        <v>0</v>
      </c>
      <c r="G54" s="100">
        <f t="shared" si="0"/>
        <v>0</v>
      </c>
      <c r="H54" s="291"/>
      <c r="I54" s="275"/>
    </row>
    <row r="55" spans="1:9" ht="15">
      <c r="A55" s="280" t="s">
        <v>140</v>
      </c>
      <c r="B55" s="96" t="s">
        <v>141</v>
      </c>
      <c r="C55" s="99" t="s">
        <v>142</v>
      </c>
      <c r="D55" s="282" t="s">
        <v>127</v>
      </c>
      <c r="E55" s="73">
        <v>1</v>
      </c>
      <c r="F55" s="74">
        <v>0</v>
      </c>
      <c r="G55" s="100">
        <f t="shared" si="0"/>
        <v>0</v>
      </c>
      <c r="H55" s="291"/>
      <c r="I55" s="275"/>
    </row>
    <row r="56" spans="1:9" ht="15">
      <c r="A56" s="280" t="s">
        <v>143</v>
      </c>
      <c r="B56" s="96"/>
      <c r="C56" s="102"/>
      <c r="D56" s="282"/>
      <c r="E56" s="73"/>
      <c r="F56" s="74"/>
      <c r="G56" s="69"/>
      <c r="H56" s="291"/>
      <c r="I56" s="275"/>
    </row>
    <row r="57" spans="1:9" ht="15">
      <c r="A57" s="280" t="s">
        <v>144</v>
      </c>
      <c r="B57" s="96"/>
      <c r="C57" s="102"/>
      <c r="D57" s="282"/>
      <c r="E57" s="73"/>
      <c r="F57" s="74"/>
      <c r="G57" s="69"/>
      <c r="H57" s="291"/>
      <c r="I57" s="275"/>
    </row>
    <row r="58" spans="1:9" ht="15">
      <c r="A58" s="280" t="s">
        <v>145</v>
      </c>
      <c r="B58" s="86"/>
      <c r="C58" s="292" t="s">
        <v>146</v>
      </c>
      <c r="D58" s="289" t="s">
        <v>51</v>
      </c>
      <c r="E58" s="89" t="s">
        <v>124</v>
      </c>
      <c r="F58" s="90"/>
      <c r="G58" s="91">
        <f>SUM(G59:G68)</f>
        <v>0</v>
      </c>
      <c r="H58" s="89">
        <f>SUM(H59:H62)</f>
        <v>0.913</v>
      </c>
      <c r="I58" s="275"/>
    </row>
    <row r="59" spans="1:9" ht="15">
      <c r="A59" s="280" t="s">
        <v>147</v>
      </c>
      <c r="B59" s="86">
        <v>974031153</v>
      </c>
      <c r="C59" s="105" t="s">
        <v>148</v>
      </c>
      <c r="D59" s="293" t="s">
        <v>149</v>
      </c>
      <c r="E59" s="107">
        <v>15</v>
      </c>
      <c r="F59" s="90">
        <v>0</v>
      </c>
      <c r="G59" s="108">
        <f>E59*F59</f>
        <v>0</v>
      </c>
      <c r="H59" s="107">
        <f>0.018*E59</f>
        <v>0.26999999999999996</v>
      </c>
      <c r="I59" s="275"/>
    </row>
    <row r="60" spans="1:9" ht="15">
      <c r="A60" s="280" t="s">
        <v>150</v>
      </c>
      <c r="B60" s="86">
        <v>974031122</v>
      </c>
      <c r="C60" s="105" t="s">
        <v>151</v>
      </c>
      <c r="D60" s="293" t="s">
        <v>149</v>
      </c>
      <c r="E60" s="107">
        <v>60</v>
      </c>
      <c r="F60" s="90">
        <v>0</v>
      </c>
      <c r="G60" s="108">
        <f>E60*F60</f>
        <v>0</v>
      </c>
      <c r="H60" s="107">
        <f>0.004*E60</f>
        <v>0.24</v>
      </c>
      <c r="I60" s="275"/>
    </row>
    <row r="61" spans="1:9" ht="24.75">
      <c r="A61" s="280" t="s">
        <v>152</v>
      </c>
      <c r="B61" s="86">
        <v>973031324</v>
      </c>
      <c r="C61" s="105" t="s">
        <v>293</v>
      </c>
      <c r="D61" s="293" t="s">
        <v>127</v>
      </c>
      <c r="E61" s="107">
        <f>10+6</f>
        <v>16</v>
      </c>
      <c r="F61" s="90">
        <v>0</v>
      </c>
      <c r="G61" s="108">
        <f>E61*F61</f>
        <v>0</v>
      </c>
      <c r="H61" s="107">
        <f>0.015*E61</f>
        <v>0.24</v>
      </c>
      <c r="I61" s="275"/>
    </row>
    <row r="62" spans="1:9" ht="15">
      <c r="A62" s="280" t="s">
        <v>153</v>
      </c>
      <c r="B62" s="86">
        <v>781471810</v>
      </c>
      <c r="C62" s="105" t="s">
        <v>154</v>
      </c>
      <c r="D62" s="293" t="s">
        <v>130</v>
      </c>
      <c r="E62" s="107">
        <v>2</v>
      </c>
      <c r="F62" s="90">
        <v>0</v>
      </c>
      <c r="G62" s="108">
        <f>E62*F62</f>
        <v>0</v>
      </c>
      <c r="H62" s="107">
        <f>0.0815*E62</f>
        <v>0.163</v>
      </c>
      <c r="I62" s="275"/>
    </row>
    <row r="63" spans="1:9" ht="24.75">
      <c r="A63" s="280" t="s">
        <v>155</v>
      </c>
      <c r="B63" s="86">
        <v>997013151</v>
      </c>
      <c r="C63" s="109" t="s">
        <v>156</v>
      </c>
      <c r="D63" s="294" t="s">
        <v>157</v>
      </c>
      <c r="E63" s="111">
        <f>0.55+0.01+0.03</f>
        <v>0.5900000000000001</v>
      </c>
      <c r="F63" s="112">
        <v>0</v>
      </c>
      <c r="G63" s="94">
        <f>E63*F63</f>
        <v>0</v>
      </c>
      <c r="H63" s="107"/>
      <c r="I63" s="275"/>
    </row>
    <row r="64" spans="1:9" ht="15">
      <c r="A64" s="280" t="s">
        <v>158</v>
      </c>
      <c r="B64" s="86"/>
      <c r="C64" s="109" t="s">
        <v>238</v>
      </c>
      <c r="D64" s="294"/>
      <c r="E64" s="111"/>
      <c r="F64" s="112"/>
      <c r="G64" s="94"/>
      <c r="H64" s="107"/>
      <c r="I64" s="275"/>
    </row>
    <row r="65" spans="1:9" ht="24.75">
      <c r="A65" s="280" t="s">
        <v>160</v>
      </c>
      <c r="B65" s="86">
        <v>997013501</v>
      </c>
      <c r="C65" s="109" t="s">
        <v>161</v>
      </c>
      <c r="D65" s="294" t="s">
        <v>157</v>
      </c>
      <c r="E65" s="111">
        <f>E63</f>
        <v>0.5900000000000001</v>
      </c>
      <c r="F65" s="112">
        <v>0</v>
      </c>
      <c r="G65" s="94">
        <f>E65*F65</f>
        <v>0</v>
      </c>
      <c r="H65" s="107"/>
      <c r="I65" s="275"/>
    </row>
    <row r="66" spans="1:9" ht="24.75">
      <c r="A66" s="280" t="s">
        <v>162</v>
      </c>
      <c r="B66" s="86">
        <v>997013509</v>
      </c>
      <c r="C66" s="109" t="s">
        <v>163</v>
      </c>
      <c r="D66" s="294" t="s">
        <v>157</v>
      </c>
      <c r="E66" s="111">
        <f>E63</f>
        <v>0.5900000000000001</v>
      </c>
      <c r="F66" s="112">
        <v>0</v>
      </c>
      <c r="G66" s="94">
        <f>E66*F66</f>
        <v>0</v>
      </c>
      <c r="H66" s="107"/>
      <c r="I66" s="275"/>
    </row>
    <row r="67" spans="1:9" ht="24.75">
      <c r="A67" s="280" t="s">
        <v>164</v>
      </c>
      <c r="B67" s="86">
        <v>469973114</v>
      </c>
      <c r="C67" s="109" t="s">
        <v>165</v>
      </c>
      <c r="D67" s="294" t="s">
        <v>157</v>
      </c>
      <c r="E67" s="111">
        <f>0.55+0.03</f>
        <v>0.5800000000000001</v>
      </c>
      <c r="F67" s="112">
        <v>0</v>
      </c>
      <c r="G67" s="94">
        <f>E67*F67</f>
        <v>0</v>
      </c>
      <c r="H67" s="107"/>
      <c r="I67" s="275"/>
    </row>
    <row r="68" spans="1:9" ht="36.75">
      <c r="A68" s="280" t="s">
        <v>166</v>
      </c>
      <c r="B68" s="86">
        <v>997013813</v>
      </c>
      <c r="C68" s="109" t="s">
        <v>167</v>
      </c>
      <c r="D68" s="294" t="s">
        <v>157</v>
      </c>
      <c r="E68" s="111">
        <v>0.01</v>
      </c>
      <c r="F68" s="112">
        <v>0</v>
      </c>
      <c r="G68" s="94">
        <f>E68*F68</f>
        <v>0</v>
      </c>
      <c r="H68" s="107"/>
      <c r="I68" s="275"/>
    </row>
    <row r="69" spans="1:9" ht="15">
      <c r="A69" s="280" t="s">
        <v>168</v>
      </c>
      <c r="B69" s="295"/>
      <c r="C69" s="121"/>
      <c r="D69" s="296"/>
      <c r="E69" s="116"/>
      <c r="F69" s="117"/>
      <c r="G69" s="118"/>
      <c r="H69" s="297"/>
      <c r="I69" s="275"/>
    </row>
    <row r="70" spans="1:9" ht="15">
      <c r="A70" s="280" t="s">
        <v>169</v>
      </c>
      <c r="B70" s="295"/>
      <c r="C70" s="124" t="s">
        <v>170</v>
      </c>
      <c r="D70" s="289" t="s">
        <v>51</v>
      </c>
      <c r="E70" s="89" t="s">
        <v>124</v>
      </c>
      <c r="F70" s="90"/>
      <c r="G70" s="91">
        <f>SUM(G71:G76)</f>
        <v>0</v>
      </c>
      <c r="H70" s="89">
        <f>SUM(H71:H76)</f>
        <v>1.02767546</v>
      </c>
      <c r="I70" s="275"/>
    </row>
    <row r="71" spans="1:9" ht="24.75">
      <c r="A71" s="280" t="s">
        <v>171</v>
      </c>
      <c r="B71" s="295">
        <v>612135101</v>
      </c>
      <c r="C71" s="121" t="s">
        <v>172</v>
      </c>
      <c r="D71" s="296" t="s">
        <v>130</v>
      </c>
      <c r="E71" s="116">
        <f>0.1*15+0.07*60</f>
        <v>5.7</v>
      </c>
      <c r="F71" s="117">
        <v>0</v>
      </c>
      <c r="G71" s="94">
        <f aca="true" t="shared" si="1" ref="G71:G76">E71*F71</f>
        <v>0</v>
      </c>
      <c r="H71" s="298">
        <f>0.056*E71</f>
        <v>0.31920000000000004</v>
      </c>
      <c r="I71" s="275"/>
    </row>
    <row r="72" spans="1:9" ht="24.75">
      <c r="A72" s="280" t="s">
        <v>173</v>
      </c>
      <c r="B72" s="295">
        <v>612325121</v>
      </c>
      <c r="C72" s="121" t="s">
        <v>174</v>
      </c>
      <c r="D72" s="296" t="s">
        <v>130</v>
      </c>
      <c r="E72" s="116">
        <f>0.15*(15+60)</f>
        <v>11.25</v>
      </c>
      <c r="F72" s="117">
        <v>0</v>
      </c>
      <c r="G72" s="94">
        <f t="shared" si="1"/>
        <v>0</v>
      </c>
      <c r="H72" s="298">
        <f>0.04153*E72</f>
        <v>0.4672125</v>
      </c>
      <c r="I72" s="275"/>
    </row>
    <row r="73" spans="1:9" ht="15">
      <c r="A73" s="280" t="s">
        <v>175</v>
      </c>
      <c r="B73" s="295">
        <v>612315222</v>
      </c>
      <c r="C73" s="121" t="s">
        <v>176</v>
      </c>
      <c r="D73" s="296" t="s">
        <v>127</v>
      </c>
      <c r="E73" s="116">
        <v>16</v>
      </c>
      <c r="F73" s="117">
        <v>0</v>
      </c>
      <c r="G73" s="94">
        <f t="shared" si="1"/>
        <v>0</v>
      </c>
      <c r="H73" s="298">
        <f>0.01*E73</f>
        <v>0.16</v>
      </c>
      <c r="I73" s="275"/>
    </row>
    <row r="74" spans="1:9" ht="24.75">
      <c r="A74" s="280" t="s">
        <v>177</v>
      </c>
      <c r="B74" s="295" t="s">
        <v>178</v>
      </c>
      <c r="C74" s="121" t="s">
        <v>179</v>
      </c>
      <c r="D74" s="296" t="s">
        <v>180</v>
      </c>
      <c r="E74" s="116">
        <v>1</v>
      </c>
      <c r="F74" s="117">
        <v>0</v>
      </c>
      <c r="G74" s="94">
        <f t="shared" si="1"/>
        <v>0</v>
      </c>
      <c r="H74" s="298">
        <f>0.08</f>
        <v>0.08</v>
      </c>
      <c r="I74" s="275"/>
    </row>
    <row r="75" spans="1:9" ht="36.75">
      <c r="A75" s="280" t="s">
        <v>181</v>
      </c>
      <c r="B75" s="295">
        <v>952901111</v>
      </c>
      <c r="C75" s="121" t="s">
        <v>182</v>
      </c>
      <c r="D75" s="296"/>
      <c r="E75" s="116">
        <f>5.86*5.9-0.4*0.5*2-(0.15+0.5)*4</f>
        <v>31.574000000000005</v>
      </c>
      <c r="F75" s="117">
        <v>0</v>
      </c>
      <c r="G75" s="94">
        <f t="shared" si="1"/>
        <v>0</v>
      </c>
      <c r="H75" s="298">
        <f>0.00004*E75</f>
        <v>0.0012629600000000003</v>
      </c>
      <c r="I75" s="275"/>
    </row>
    <row r="76" spans="1:9" ht="15">
      <c r="A76" s="280" t="s">
        <v>183</v>
      </c>
      <c r="B76" s="295">
        <v>998011002</v>
      </c>
      <c r="C76" s="123" t="s">
        <v>184</v>
      </c>
      <c r="D76" s="296" t="s">
        <v>157</v>
      </c>
      <c r="E76" s="116">
        <f>SUM(H71:H73)</f>
        <v>0.9464125</v>
      </c>
      <c r="F76" s="117">
        <v>0</v>
      </c>
      <c r="G76" s="94">
        <f t="shared" si="1"/>
        <v>0</v>
      </c>
      <c r="H76" s="297"/>
      <c r="I76" s="275"/>
    </row>
    <row r="77" spans="1:9" ht="15">
      <c r="A77" s="280" t="s">
        <v>185</v>
      </c>
      <c r="B77" s="295"/>
      <c r="C77" s="121"/>
      <c r="D77" s="296"/>
      <c r="E77" s="116"/>
      <c r="F77" s="117"/>
      <c r="G77" s="118"/>
      <c r="H77" s="297"/>
      <c r="I77" s="275"/>
    </row>
    <row r="78" spans="1:9" ht="15">
      <c r="A78" s="280" t="s">
        <v>186</v>
      </c>
      <c r="B78" s="295"/>
      <c r="C78" s="124"/>
      <c r="D78" s="299"/>
      <c r="E78" s="126"/>
      <c r="F78" s="117"/>
      <c r="G78" s="127"/>
      <c r="H78" s="297"/>
      <c r="I78" s="275"/>
    </row>
    <row r="79" spans="1:9" ht="15">
      <c r="A79" s="280" t="s">
        <v>187</v>
      </c>
      <c r="B79" s="295"/>
      <c r="C79" s="124" t="s">
        <v>188</v>
      </c>
      <c r="D79" s="296" t="s">
        <v>51</v>
      </c>
      <c r="E79" s="116" t="s">
        <v>189</v>
      </c>
      <c r="F79" s="117"/>
      <c r="G79" s="127">
        <f>SUM(G80:G90)</f>
        <v>0</v>
      </c>
      <c r="H79" s="297"/>
      <c r="I79" s="275"/>
    </row>
    <row r="80" spans="1:9" ht="60">
      <c r="A80" s="280" t="s">
        <v>190</v>
      </c>
      <c r="B80" s="295">
        <v>776201812</v>
      </c>
      <c r="C80" s="132" t="s">
        <v>294</v>
      </c>
      <c r="D80" s="296" t="s">
        <v>130</v>
      </c>
      <c r="E80" s="73">
        <f>5.86*5.9-0.4*0.5*2-(0.15+0.5)*4</f>
        <v>31.574000000000005</v>
      </c>
      <c r="F80" s="117">
        <v>0</v>
      </c>
      <c r="G80" s="118">
        <f aca="true" t="shared" si="2" ref="G80:G89">E80*F80</f>
        <v>0</v>
      </c>
      <c r="H80" s="297">
        <f>0.003*E80</f>
        <v>0.09472200000000001</v>
      </c>
      <c r="I80" s="275"/>
    </row>
    <row r="81" spans="1:9" ht="36">
      <c r="A81" s="280" t="s">
        <v>191</v>
      </c>
      <c r="B81" s="295">
        <v>776410811</v>
      </c>
      <c r="C81" s="132" t="s">
        <v>295</v>
      </c>
      <c r="D81" s="296" t="s">
        <v>149</v>
      </c>
      <c r="E81" s="116">
        <f>(5.86+5.9)*2+(0.5*2+0.4)*2+0.5</f>
        <v>26.820000000000004</v>
      </c>
      <c r="F81" s="117">
        <v>0</v>
      </c>
      <c r="G81" s="118">
        <f t="shared" si="2"/>
        <v>0</v>
      </c>
      <c r="H81" s="297">
        <f>0.0003*E81</f>
        <v>0.008046000000000001</v>
      </c>
      <c r="I81" s="275"/>
    </row>
    <row r="82" spans="1:9" ht="36.75">
      <c r="A82" s="280" t="s">
        <v>192</v>
      </c>
      <c r="B82" s="295">
        <v>776991821</v>
      </c>
      <c r="C82" s="121" t="s">
        <v>296</v>
      </c>
      <c r="D82" s="296" t="s">
        <v>130</v>
      </c>
      <c r="E82" s="116">
        <f>E80</f>
        <v>31.574000000000005</v>
      </c>
      <c r="F82" s="117">
        <v>0</v>
      </c>
      <c r="G82" s="118">
        <f t="shared" si="2"/>
        <v>0</v>
      </c>
      <c r="H82" s="297">
        <v>0</v>
      </c>
      <c r="I82" s="275"/>
    </row>
    <row r="83" spans="1:9" ht="24">
      <c r="A83" s="280" t="s">
        <v>193</v>
      </c>
      <c r="B83" s="295">
        <v>776111115</v>
      </c>
      <c r="C83" s="132" t="s">
        <v>297</v>
      </c>
      <c r="D83" s="296" t="s">
        <v>130</v>
      </c>
      <c r="E83" s="116">
        <f>E80</f>
        <v>31.574000000000005</v>
      </c>
      <c r="F83" s="117">
        <v>0</v>
      </c>
      <c r="G83" s="118">
        <f t="shared" si="2"/>
        <v>0</v>
      </c>
      <c r="H83" s="297"/>
      <c r="I83" s="275"/>
    </row>
    <row r="84" spans="1:9" ht="24">
      <c r="A84" s="280" t="s">
        <v>194</v>
      </c>
      <c r="B84" s="295">
        <v>776121511</v>
      </c>
      <c r="C84" s="300" t="s">
        <v>298</v>
      </c>
      <c r="D84" s="296" t="s">
        <v>130</v>
      </c>
      <c r="E84" s="116">
        <f>E80</f>
        <v>31.574000000000005</v>
      </c>
      <c r="F84" s="117">
        <v>0</v>
      </c>
      <c r="G84" s="118">
        <f t="shared" si="2"/>
        <v>0</v>
      </c>
      <c r="H84" s="297"/>
      <c r="I84" s="275"/>
    </row>
    <row r="85" spans="1:9" ht="48.75">
      <c r="A85" s="280" t="s">
        <v>195</v>
      </c>
      <c r="B85" s="295">
        <v>776141112</v>
      </c>
      <c r="C85" s="121" t="s">
        <v>299</v>
      </c>
      <c r="D85" s="296" t="s">
        <v>130</v>
      </c>
      <c r="E85" s="116">
        <f>E80</f>
        <v>31.574000000000005</v>
      </c>
      <c r="F85" s="117">
        <v>0</v>
      </c>
      <c r="G85" s="118">
        <f t="shared" si="2"/>
        <v>0</v>
      </c>
      <c r="H85" s="297"/>
      <c r="I85" s="275"/>
    </row>
    <row r="86" spans="1:9" ht="36.75">
      <c r="A86" s="280" t="s">
        <v>196</v>
      </c>
      <c r="B86" s="295">
        <v>776211221</v>
      </c>
      <c r="C86" s="121" t="s">
        <v>300</v>
      </c>
      <c r="D86" s="296" t="s">
        <v>130</v>
      </c>
      <c r="E86" s="116">
        <f>E80</f>
        <v>31.574000000000005</v>
      </c>
      <c r="F86" s="117">
        <v>0</v>
      </c>
      <c r="G86" s="118">
        <f t="shared" si="2"/>
        <v>0</v>
      </c>
      <c r="H86" s="297"/>
      <c r="I86" s="275"/>
    </row>
    <row r="87" spans="1:9" ht="24.75">
      <c r="A87" s="280" t="s">
        <v>197</v>
      </c>
      <c r="B87" s="295" t="s">
        <v>178</v>
      </c>
      <c r="C87" s="121" t="s">
        <v>301</v>
      </c>
      <c r="D87" s="296" t="s">
        <v>130</v>
      </c>
      <c r="E87" s="116">
        <f>31.57*1.09</f>
        <v>34.411300000000004</v>
      </c>
      <c r="F87" s="117">
        <v>0</v>
      </c>
      <c r="G87" s="118">
        <f t="shared" si="2"/>
        <v>0</v>
      </c>
      <c r="H87" s="297"/>
      <c r="I87" s="275"/>
    </row>
    <row r="88" spans="1:9" ht="24.75">
      <c r="A88" s="280" t="s">
        <v>198</v>
      </c>
      <c r="B88" s="295">
        <v>776421111</v>
      </c>
      <c r="C88" s="121" t="s">
        <v>302</v>
      </c>
      <c r="D88" s="296" t="s">
        <v>149</v>
      </c>
      <c r="E88" s="116">
        <f>(5.9+5.86)*2+0.5*2*4</f>
        <v>27.520000000000003</v>
      </c>
      <c r="F88" s="117">
        <v>0</v>
      </c>
      <c r="G88" s="118">
        <f t="shared" si="2"/>
        <v>0</v>
      </c>
      <c r="H88" s="297"/>
      <c r="I88" s="275"/>
    </row>
    <row r="89" spans="1:9" ht="15">
      <c r="A89" s="280" t="s">
        <v>199</v>
      </c>
      <c r="B89" s="295" t="s">
        <v>178</v>
      </c>
      <c r="C89" s="121" t="s">
        <v>303</v>
      </c>
      <c r="D89" s="296" t="s">
        <v>149</v>
      </c>
      <c r="E89" s="116">
        <f>E88*1.09</f>
        <v>29.996800000000004</v>
      </c>
      <c r="F89" s="117">
        <v>0</v>
      </c>
      <c r="G89" s="118">
        <f t="shared" si="2"/>
        <v>0</v>
      </c>
      <c r="H89" s="297"/>
      <c r="I89" s="275"/>
    </row>
    <row r="90" spans="1:9" ht="15">
      <c r="A90" s="280" t="s">
        <v>200</v>
      </c>
      <c r="B90" s="295">
        <v>998776202</v>
      </c>
      <c r="C90" s="121" t="s">
        <v>304</v>
      </c>
      <c r="D90" s="296" t="s">
        <v>201</v>
      </c>
      <c r="E90" s="116">
        <v>0.0038</v>
      </c>
      <c r="F90" s="117">
        <f>SUM(G80:G89)</f>
        <v>0</v>
      </c>
      <c r="G90" s="118">
        <f>E90*F90</f>
        <v>0</v>
      </c>
      <c r="H90" s="297"/>
      <c r="I90" s="275"/>
    </row>
    <row r="91" spans="1:9" ht="15">
      <c r="A91" s="280" t="s">
        <v>202</v>
      </c>
      <c r="B91" s="295"/>
      <c r="C91" s="121"/>
      <c r="D91" s="296"/>
      <c r="E91" s="116"/>
      <c r="F91" s="117"/>
      <c r="G91" s="118"/>
      <c r="H91" s="297"/>
      <c r="I91" s="275"/>
    </row>
    <row r="92" spans="1:9" ht="15">
      <c r="A92" s="280" t="s">
        <v>203</v>
      </c>
      <c r="B92" s="295"/>
      <c r="C92" s="121"/>
      <c r="D92" s="296"/>
      <c r="E92" s="116"/>
      <c r="F92" s="117"/>
      <c r="G92" s="118"/>
      <c r="H92" s="297"/>
      <c r="I92" s="275"/>
    </row>
    <row r="93" spans="1:9" ht="15">
      <c r="A93" s="280" t="s">
        <v>204</v>
      </c>
      <c r="B93" s="295"/>
      <c r="C93" s="124" t="s">
        <v>205</v>
      </c>
      <c r="D93" s="299" t="s">
        <v>206</v>
      </c>
      <c r="E93" s="126" t="s">
        <v>124</v>
      </c>
      <c r="F93" s="128"/>
      <c r="G93" s="127">
        <f>SUM(G94:G95)</f>
        <v>0</v>
      </c>
      <c r="H93" s="297"/>
      <c r="I93" s="275"/>
    </row>
    <row r="94" spans="1:9" ht="15">
      <c r="A94" s="280" t="s">
        <v>207</v>
      </c>
      <c r="B94" s="295" t="s">
        <v>178</v>
      </c>
      <c r="C94" s="129" t="s">
        <v>208</v>
      </c>
      <c r="D94" s="301" t="s">
        <v>127</v>
      </c>
      <c r="E94" s="116">
        <v>1</v>
      </c>
      <c r="F94" s="117">
        <v>0</v>
      </c>
      <c r="G94" s="118">
        <f>E94*F94</f>
        <v>0</v>
      </c>
      <c r="H94" s="297"/>
      <c r="I94" s="275"/>
    </row>
    <row r="95" spans="1:9" ht="15">
      <c r="A95" s="280" t="s">
        <v>209</v>
      </c>
      <c r="B95" s="295">
        <v>998763402</v>
      </c>
      <c r="C95" s="129" t="s">
        <v>305</v>
      </c>
      <c r="D95" s="296" t="s">
        <v>201</v>
      </c>
      <c r="E95" s="116">
        <v>0.0152</v>
      </c>
      <c r="F95" s="117">
        <f>SUM(G94:G94)</f>
        <v>0</v>
      </c>
      <c r="G95" s="118">
        <f>E95*F95</f>
        <v>0</v>
      </c>
      <c r="H95" s="297"/>
      <c r="I95" s="275"/>
    </row>
    <row r="96" spans="1:9" ht="15">
      <c r="A96" s="280" t="s">
        <v>210</v>
      </c>
      <c r="B96" s="295"/>
      <c r="C96" s="129"/>
      <c r="D96" s="296"/>
      <c r="E96" s="116"/>
      <c r="F96" s="117"/>
      <c r="G96" s="118"/>
      <c r="H96" s="297"/>
      <c r="I96" s="275"/>
    </row>
    <row r="97" spans="1:9" ht="15">
      <c r="A97" s="280" t="s">
        <v>211</v>
      </c>
      <c r="B97" s="295"/>
      <c r="C97" s="121"/>
      <c r="D97" s="296"/>
      <c r="E97" s="116"/>
      <c r="F97" s="117"/>
      <c r="G97" s="118"/>
      <c r="H97" s="297"/>
      <c r="I97" s="275"/>
    </row>
    <row r="98" spans="1:9" ht="15">
      <c r="A98" s="280" t="s">
        <v>212</v>
      </c>
      <c r="B98" s="295"/>
      <c r="C98" s="302" t="s">
        <v>213</v>
      </c>
      <c r="D98" s="296"/>
      <c r="E98" s="116"/>
      <c r="F98" s="117"/>
      <c r="G98" s="118"/>
      <c r="H98" s="297"/>
      <c r="I98" s="275"/>
    </row>
    <row r="99" spans="1:9" ht="15">
      <c r="A99" s="280" t="s">
        <v>214</v>
      </c>
      <c r="B99" s="295"/>
      <c r="C99" s="121" t="s">
        <v>215</v>
      </c>
      <c r="D99" s="299" t="s">
        <v>206</v>
      </c>
      <c r="E99" s="126" t="s">
        <v>124</v>
      </c>
      <c r="F99" s="128"/>
      <c r="G99" s="127">
        <f>SUM(G100:G104)</f>
        <v>0</v>
      </c>
      <c r="H99" s="297"/>
      <c r="I99" s="275"/>
    </row>
    <row r="100" spans="1:9" ht="15">
      <c r="A100" s="280" t="s">
        <v>216</v>
      </c>
      <c r="B100" s="295">
        <v>781111011</v>
      </c>
      <c r="C100" s="121" t="s">
        <v>217</v>
      </c>
      <c r="D100" s="296" t="s">
        <v>130</v>
      </c>
      <c r="E100" s="116">
        <f>2.55*0.6+0.5*0.6*2*2</f>
        <v>2.7299999999999995</v>
      </c>
      <c r="F100" s="117">
        <v>0</v>
      </c>
      <c r="G100" s="118">
        <f>E100*F100</f>
        <v>0</v>
      </c>
      <c r="H100" s="297"/>
      <c r="I100" s="275"/>
    </row>
    <row r="101" spans="1:9" ht="15">
      <c r="A101" s="280" t="s">
        <v>218</v>
      </c>
      <c r="B101" s="295">
        <v>781121011</v>
      </c>
      <c r="C101" s="121" t="s">
        <v>219</v>
      </c>
      <c r="D101" s="296" t="s">
        <v>130</v>
      </c>
      <c r="E101" s="116">
        <f>E100</f>
        <v>2.7299999999999995</v>
      </c>
      <c r="F101" s="117">
        <v>0</v>
      </c>
      <c r="G101" s="118">
        <f>E101*F101</f>
        <v>0</v>
      </c>
      <c r="H101" s="297"/>
      <c r="I101" s="275"/>
    </row>
    <row r="102" spans="1:9" ht="36.75">
      <c r="A102" s="280" t="s">
        <v>220</v>
      </c>
      <c r="B102" s="295">
        <v>781474164</v>
      </c>
      <c r="C102" s="121" t="s">
        <v>221</v>
      </c>
      <c r="D102" s="296" t="s">
        <v>130</v>
      </c>
      <c r="E102" s="116">
        <f>E100</f>
        <v>2.7299999999999995</v>
      </c>
      <c r="F102" s="117">
        <v>0</v>
      </c>
      <c r="G102" s="118">
        <f>E102*F102</f>
        <v>0</v>
      </c>
      <c r="H102" s="297"/>
      <c r="I102" s="275"/>
    </row>
    <row r="103" spans="1:9" ht="15">
      <c r="A103" s="280" t="s">
        <v>222</v>
      </c>
      <c r="B103" s="295" t="s">
        <v>178</v>
      </c>
      <c r="C103" s="123" t="s">
        <v>223</v>
      </c>
      <c r="D103" s="296" t="s">
        <v>130</v>
      </c>
      <c r="E103" s="116">
        <f>2.73*1.1</f>
        <v>3.003</v>
      </c>
      <c r="F103" s="117">
        <v>0</v>
      </c>
      <c r="G103" s="118">
        <f>E103*F103</f>
        <v>0</v>
      </c>
      <c r="H103" s="297"/>
      <c r="I103" s="275"/>
    </row>
    <row r="104" spans="1:9" ht="15">
      <c r="A104" s="280" t="s">
        <v>224</v>
      </c>
      <c r="B104" s="295">
        <v>998781202</v>
      </c>
      <c r="C104" s="121" t="s">
        <v>225</v>
      </c>
      <c r="D104" s="296" t="s">
        <v>201</v>
      </c>
      <c r="E104" s="116">
        <v>0.037</v>
      </c>
      <c r="F104" s="117">
        <f>SUM(G100:G103)</f>
        <v>0</v>
      </c>
      <c r="G104" s="118">
        <f>E104*F104</f>
        <v>0</v>
      </c>
      <c r="H104" s="297"/>
      <c r="I104" s="275"/>
    </row>
    <row r="105" spans="1:9" ht="15">
      <c r="A105" s="280" t="s">
        <v>226</v>
      </c>
      <c r="B105" s="295"/>
      <c r="C105" s="121"/>
      <c r="D105" s="296"/>
      <c r="E105" s="116"/>
      <c r="F105" s="117"/>
      <c r="G105" s="118"/>
      <c r="H105" s="297"/>
      <c r="I105" s="275"/>
    </row>
    <row r="106" spans="1:9" ht="15">
      <c r="A106" s="280" t="s">
        <v>227</v>
      </c>
      <c r="B106" s="295"/>
      <c r="C106" s="121"/>
      <c r="D106" s="296"/>
      <c r="E106" s="116"/>
      <c r="F106" s="117"/>
      <c r="G106" s="118"/>
      <c r="H106" s="297"/>
      <c r="I106" s="275"/>
    </row>
    <row r="107" spans="1:9" ht="15">
      <c r="A107" s="280" t="s">
        <v>228</v>
      </c>
      <c r="B107" s="295"/>
      <c r="C107" s="124" t="s">
        <v>229</v>
      </c>
      <c r="D107" s="299" t="s">
        <v>51</v>
      </c>
      <c r="E107" s="126" t="s">
        <v>124</v>
      </c>
      <c r="F107" s="117"/>
      <c r="G107" s="127">
        <f>SUM(G108:G111)</f>
        <v>0</v>
      </c>
      <c r="H107" s="297"/>
      <c r="I107" s="275"/>
    </row>
    <row r="108" spans="1:9" ht="60">
      <c r="A108" s="280" t="s">
        <v>230</v>
      </c>
      <c r="B108" s="295">
        <v>784121001</v>
      </c>
      <c r="C108" s="129" t="s">
        <v>231</v>
      </c>
      <c r="D108" s="296" t="s">
        <v>130</v>
      </c>
      <c r="E108" s="116">
        <f>(5.86+5.9)*2*3.88+31.6</f>
        <v>122.85760000000002</v>
      </c>
      <c r="F108" s="117">
        <v>0</v>
      </c>
      <c r="G108" s="118">
        <f>E108*F108</f>
        <v>0</v>
      </c>
      <c r="H108" s="297">
        <f>0.0003*E108</f>
        <v>0.03685728</v>
      </c>
      <c r="I108" s="275"/>
    </row>
    <row r="109" spans="1:9" ht="36">
      <c r="A109" s="280" t="s">
        <v>232</v>
      </c>
      <c r="B109" s="295">
        <v>784111001</v>
      </c>
      <c r="C109" s="129" t="s">
        <v>233</v>
      </c>
      <c r="D109" s="296" t="s">
        <v>130</v>
      </c>
      <c r="E109" s="116">
        <f>E108</f>
        <v>122.85760000000002</v>
      </c>
      <c r="F109" s="117">
        <v>0</v>
      </c>
      <c r="G109" s="118">
        <f>E109*F109</f>
        <v>0</v>
      </c>
      <c r="H109" s="297">
        <v>0</v>
      </c>
      <c r="I109" s="275"/>
    </row>
    <row r="110" spans="1:9" ht="24">
      <c r="A110" s="280" t="s">
        <v>234</v>
      </c>
      <c r="B110" s="295">
        <v>784181101</v>
      </c>
      <c r="C110" s="132" t="s">
        <v>235</v>
      </c>
      <c r="D110" s="296" t="s">
        <v>130</v>
      </c>
      <c r="E110" s="116">
        <f>E109</f>
        <v>122.85760000000002</v>
      </c>
      <c r="F110" s="117">
        <v>0</v>
      </c>
      <c r="G110" s="118">
        <f>E110*F110</f>
        <v>0</v>
      </c>
      <c r="H110" s="297"/>
      <c r="I110" s="275"/>
    </row>
    <row r="111" spans="1:9" ht="60">
      <c r="A111" s="280" t="s">
        <v>236</v>
      </c>
      <c r="B111" s="295">
        <v>784221101</v>
      </c>
      <c r="C111" s="129" t="s">
        <v>306</v>
      </c>
      <c r="D111" s="296" t="s">
        <v>130</v>
      </c>
      <c r="E111" s="116">
        <f>E108</f>
        <v>122.85760000000002</v>
      </c>
      <c r="F111" s="133">
        <v>0</v>
      </c>
      <c r="G111" s="118">
        <f>E111*F111</f>
        <v>0</v>
      </c>
      <c r="H111" s="297"/>
      <c r="I111" s="275"/>
    </row>
    <row r="112" spans="1:9" ht="15">
      <c r="A112" s="134"/>
      <c r="B112" s="303"/>
      <c r="C112" s="304"/>
      <c r="D112" s="305"/>
      <c r="E112" s="135"/>
      <c r="F112" s="136"/>
      <c r="G112" s="137"/>
      <c r="H112" s="306"/>
      <c r="I112" s="275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N22" sqref="N22"/>
    </sheetView>
  </sheetViews>
  <sheetFormatPr defaultColWidth="9.140625" defaultRowHeight="15"/>
  <cols>
    <col min="1" max="1" width="19.00390625" style="0" customWidth="1"/>
    <col min="2" max="2" width="58.421875" style="0" customWidth="1"/>
  </cols>
  <sheetData>
    <row r="1" spans="1:9" ht="30">
      <c r="A1" s="307" t="s">
        <v>307</v>
      </c>
      <c r="B1" s="307" t="s">
        <v>308</v>
      </c>
      <c r="C1" s="307" t="s">
        <v>309</v>
      </c>
      <c r="D1" s="307" t="s">
        <v>310</v>
      </c>
      <c r="E1" s="307" t="s">
        <v>311</v>
      </c>
      <c r="F1" s="307" t="s">
        <v>312</v>
      </c>
      <c r="G1" s="307" t="s">
        <v>313</v>
      </c>
      <c r="H1" s="307" t="s">
        <v>314</v>
      </c>
      <c r="I1" s="308"/>
    </row>
    <row r="2" spans="1:9" ht="15.75">
      <c r="A2" s="309" t="s">
        <v>315</v>
      </c>
      <c r="B2" s="310"/>
      <c r="C2" s="310"/>
      <c r="D2" s="310"/>
      <c r="E2" s="310"/>
      <c r="F2" s="310"/>
      <c r="G2" s="311"/>
      <c r="H2" s="311"/>
      <c r="I2" s="308"/>
    </row>
    <row r="3" spans="1:9" ht="16.5">
      <c r="A3" s="312" t="s">
        <v>316</v>
      </c>
      <c r="B3" s="313" t="s">
        <v>317</v>
      </c>
      <c r="C3" s="312" t="s">
        <v>127</v>
      </c>
      <c r="D3" s="312">
        <v>10</v>
      </c>
      <c r="E3" s="314">
        <v>0</v>
      </c>
      <c r="F3" s="315">
        <f aca="true" t="shared" si="0" ref="F3:F8">D3*E3</f>
        <v>0</v>
      </c>
      <c r="G3" s="314">
        <v>0</v>
      </c>
      <c r="H3" s="315">
        <f aca="true" t="shared" si="1" ref="H3:H8">D3*G3</f>
        <v>0</v>
      </c>
      <c r="I3" s="308"/>
    </row>
    <row r="4" spans="1:9" ht="16.5">
      <c r="A4" s="312" t="s">
        <v>318</v>
      </c>
      <c r="B4" s="313" t="s">
        <v>319</v>
      </c>
      <c r="C4" s="312" t="s">
        <v>127</v>
      </c>
      <c r="D4" s="312">
        <v>9</v>
      </c>
      <c r="E4" s="314">
        <v>0</v>
      </c>
      <c r="F4" s="315">
        <f t="shared" si="0"/>
        <v>0</v>
      </c>
      <c r="G4" s="314">
        <v>0</v>
      </c>
      <c r="H4" s="315">
        <f t="shared" si="1"/>
        <v>0</v>
      </c>
      <c r="I4" s="308"/>
    </row>
    <row r="5" spans="1:9" ht="16.5">
      <c r="A5" s="312" t="s">
        <v>320</v>
      </c>
      <c r="B5" s="313" t="s">
        <v>321</v>
      </c>
      <c r="C5" s="312" t="s">
        <v>127</v>
      </c>
      <c r="D5" s="312">
        <v>1</v>
      </c>
      <c r="E5" s="314">
        <v>0</v>
      </c>
      <c r="F5" s="315">
        <f t="shared" si="0"/>
        <v>0</v>
      </c>
      <c r="G5" s="314">
        <v>0</v>
      </c>
      <c r="H5" s="315">
        <f t="shared" si="1"/>
        <v>0</v>
      </c>
      <c r="I5" s="308"/>
    </row>
    <row r="6" spans="1:9" ht="16.5">
      <c r="A6" s="312" t="s">
        <v>322</v>
      </c>
      <c r="B6" s="313" t="s">
        <v>323</v>
      </c>
      <c r="C6" s="312" t="s">
        <v>180</v>
      </c>
      <c r="D6" s="312">
        <v>1</v>
      </c>
      <c r="E6" s="314">
        <v>0</v>
      </c>
      <c r="F6" s="315">
        <f t="shared" si="0"/>
        <v>0</v>
      </c>
      <c r="G6" s="314"/>
      <c r="H6" s="315">
        <f t="shared" si="1"/>
        <v>0</v>
      </c>
      <c r="I6" s="308"/>
    </row>
    <row r="7" spans="1:9" ht="16.5">
      <c r="A7" s="312" t="s">
        <v>324</v>
      </c>
      <c r="B7" s="313" t="s">
        <v>325</v>
      </c>
      <c r="C7" s="312" t="s">
        <v>180</v>
      </c>
      <c r="D7" s="312">
        <v>1</v>
      </c>
      <c r="E7" s="314"/>
      <c r="F7" s="315">
        <f t="shared" si="0"/>
        <v>0</v>
      </c>
      <c r="G7" s="314">
        <v>0</v>
      </c>
      <c r="H7" s="315">
        <f t="shared" si="1"/>
        <v>0</v>
      </c>
      <c r="I7" s="308"/>
    </row>
    <row r="8" spans="1:9" ht="16.5">
      <c r="A8" s="312" t="s">
        <v>326</v>
      </c>
      <c r="B8" s="313" t="s">
        <v>327</v>
      </c>
      <c r="C8" s="312" t="s">
        <v>180</v>
      </c>
      <c r="D8" s="312">
        <v>1</v>
      </c>
      <c r="E8" s="314"/>
      <c r="F8" s="315">
        <f t="shared" si="0"/>
        <v>0</v>
      </c>
      <c r="G8" s="314">
        <v>0</v>
      </c>
      <c r="H8" s="315">
        <f t="shared" si="1"/>
        <v>0</v>
      </c>
      <c r="I8" s="308"/>
    </row>
    <row r="9" spans="1:9" ht="16.5">
      <c r="A9" s="312"/>
      <c r="B9" s="316" t="s">
        <v>328</v>
      </c>
      <c r="C9" s="317"/>
      <c r="D9" s="317"/>
      <c r="E9" s="318"/>
      <c r="F9" s="319">
        <f>SUM(F3:F8)</f>
        <v>0</v>
      </c>
      <c r="G9" s="320"/>
      <c r="H9" s="319">
        <f>SUM(H3:H8)</f>
        <v>0</v>
      </c>
      <c r="I9" s="321"/>
    </row>
    <row r="10" spans="1:9" ht="15.75">
      <c r="A10" s="309" t="s">
        <v>329</v>
      </c>
      <c r="B10" s="310"/>
      <c r="C10" s="310"/>
      <c r="D10" s="310"/>
      <c r="E10" s="310"/>
      <c r="F10" s="310"/>
      <c r="G10" s="311"/>
      <c r="H10" s="311"/>
      <c r="I10" s="308"/>
    </row>
    <row r="11" spans="1:9" ht="16.5">
      <c r="A11" s="312" t="s">
        <v>330</v>
      </c>
      <c r="B11" s="313" t="s">
        <v>331</v>
      </c>
      <c r="C11" s="312" t="s">
        <v>127</v>
      </c>
      <c r="D11" s="312">
        <v>3</v>
      </c>
      <c r="E11" s="314">
        <v>0</v>
      </c>
      <c r="F11" s="315">
        <f>D11*E11</f>
        <v>0</v>
      </c>
      <c r="G11" s="314">
        <v>0</v>
      </c>
      <c r="H11" s="315">
        <f>D11*G11</f>
        <v>0</v>
      </c>
      <c r="I11" s="308"/>
    </row>
    <row r="12" spans="1:9" ht="16.5">
      <c r="A12" s="312" t="s">
        <v>332</v>
      </c>
      <c r="B12" s="313" t="s">
        <v>325</v>
      </c>
      <c r="C12" s="322" t="s">
        <v>180</v>
      </c>
      <c r="D12" s="312">
        <v>1</v>
      </c>
      <c r="E12" s="314"/>
      <c r="F12" s="315">
        <f>D12*E12</f>
        <v>0</v>
      </c>
      <c r="G12" s="314">
        <v>0</v>
      </c>
      <c r="H12" s="315">
        <f>D12*G12</f>
        <v>0</v>
      </c>
      <c r="I12" s="308"/>
    </row>
    <row r="13" spans="1:9" ht="16.5">
      <c r="A13" s="312" t="s">
        <v>333</v>
      </c>
      <c r="B13" s="313" t="s">
        <v>334</v>
      </c>
      <c r="C13" s="322" t="s">
        <v>180</v>
      </c>
      <c r="D13" s="312">
        <v>1</v>
      </c>
      <c r="E13" s="314">
        <v>0</v>
      </c>
      <c r="F13" s="315">
        <f>D13*E13</f>
        <v>0</v>
      </c>
      <c r="G13" s="314">
        <v>0</v>
      </c>
      <c r="H13" s="315">
        <f>D13*G13</f>
        <v>0</v>
      </c>
      <c r="I13" s="308"/>
    </row>
    <row r="14" spans="1:9" ht="15.75">
      <c r="A14" s="323"/>
      <c r="B14" s="316" t="s">
        <v>335</v>
      </c>
      <c r="C14" s="317"/>
      <c r="D14" s="317"/>
      <c r="E14" s="318"/>
      <c r="F14" s="319">
        <f>SUM(F11:F13)</f>
        <v>0</v>
      </c>
      <c r="G14" s="320"/>
      <c r="H14" s="319">
        <f>SUM(H11:H13)</f>
        <v>0</v>
      </c>
      <c r="I14" s="321"/>
    </row>
    <row r="15" spans="1:9" ht="15.75">
      <c r="A15" s="309" t="s">
        <v>336</v>
      </c>
      <c r="B15" s="310"/>
      <c r="C15" s="310"/>
      <c r="D15" s="310"/>
      <c r="E15" s="310"/>
      <c r="F15" s="310"/>
      <c r="G15" s="311"/>
      <c r="H15" s="311"/>
      <c r="I15" s="308"/>
    </row>
    <row r="16" spans="1:9" ht="16.5">
      <c r="A16" s="312" t="s">
        <v>337</v>
      </c>
      <c r="B16" s="313" t="s">
        <v>338</v>
      </c>
      <c r="C16" s="312" t="s">
        <v>339</v>
      </c>
      <c r="D16" s="312">
        <v>160</v>
      </c>
      <c r="E16" s="314">
        <v>0</v>
      </c>
      <c r="F16" s="315">
        <f aca="true" t="shared" si="2" ref="F16:F23">D16*E16</f>
        <v>0</v>
      </c>
      <c r="G16" s="314">
        <v>0</v>
      </c>
      <c r="H16" s="315">
        <f aca="true" t="shared" si="3" ref="H16:H23">D16*G16</f>
        <v>0</v>
      </c>
      <c r="I16" s="308"/>
    </row>
    <row r="17" spans="1:9" ht="16.5">
      <c r="A17" s="312" t="s">
        <v>340</v>
      </c>
      <c r="B17" s="313" t="s">
        <v>341</v>
      </c>
      <c r="C17" s="312" t="s">
        <v>339</v>
      </c>
      <c r="D17" s="312">
        <v>30</v>
      </c>
      <c r="E17" s="314">
        <v>0</v>
      </c>
      <c r="F17" s="315">
        <f t="shared" si="2"/>
        <v>0</v>
      </c>
      <c r="G17" s="314">
        <v>0</v>
      </c>
      <c r="H17" s="315">
        <f t="shared" si="3"/>
        <v>0</v>
      </c>
      <c r="I17" s="308"/>
    </row>
    <row r="18" spans="1:9" ht="16.5">
      <c r="A18" s="312" t="s">
        <v>342</v>
      </c>
      <c r="B18" s="313" t="s">
        <v>343</v>
      </c>
      <c r="C18" s="312" t="s">
        <v>339</v>
      </c>
      <c r="D18" s="312">
        <v>20</v>
      </c>
      <c r="E18" s="314">
        <v>0</v>
      </c>
      <c r="F18" s="315">
        <f t="shared" si="2"/>
        <v>0</v>
      </c>
      <c r="G18" s="314">
        <v>0</v>
      </c>
      <c r="H18" s="315">
        <f t="shared" si="3"/>
        <v>0</v>
      </c>
      <c r="I18" s="308"/>
    </row>
    <row r="19" spans="1:9" ht="16.5">
      <c r="A19" s="312" t="s">
        <v>344</v>
      </c>
      <c r="B19" s="313" t="s">
        <v>345</v>
      </c>
      <c r="C19" s="312" t="s">
        <v>339</v>
      </c>
      <c r="D19" s="312">
        <v>3</v>
      </c>
      <c r="E19" s="314">
        <v>0</v>
      </c>
      <c r="F19" s="315">
        <f t="shared" si="2"/>
        <v>0</v>
      </c>
      <c r="G19" s="314">
        <v>0</v>
      </c>
      <c r="H19" s="315">
        <f t="shared" si="3"/>
        <v>0</v>
      </c>
      <c r="I19" s="308"/>
    </row>
    <row r="20" spans="1:9" ht="16.5">
      <c r="A20" s="312" t="s">
        <v>346</v>
      </c>
      <c r="B20" s="313" t="s">
        <v>347</v>
      </c>
      <c r="C20" s="312" t="s">
        <v>127</v>
      </c>
      <c r="D20" s="312">
        <v>3</v>
      </c>
      <c r="E20" s="314">
        <v>0</v>
      </c>
      <c r="F20" s="315">
        <f t="shared" si="2"/>
        <v>0</v>
      </c>
      <c r="G20" s="314">
        <v>0</v>
      </c>
      <c r="H20" s="315">
        <f t="shared" si="3"/>
        <v>0</v>
      </c>
      <c r="I20" s="308"/>
    </row>
    <row r="21" spans="1:9" ht="16.5">
      <c r="A21" s="312" t="s">
        <v>348</v>
      </c>
      <c r="B21" s="313" t="s">
        <v>349</v>
      </c>
      <c r="C21" s="322" t="s">
        <v>180</v>
      </c>
      <c r="D21" s="312">
        <v>1</v>
      </c>
      <c r="E21" s="314">
        <v>0</v>
      </c>
      <c r="F21" s="315">
        <f t="shared" si="2"/>
        <v>0</v>
      </c>
      <c r="G21" s="314"/>
      <c r="H21" s="315">
        <f t="shared" si="3"/>
        <v>0</v>
      </c>
      <c r="I21" s="308"/>
    </row>
    <row r="22" spans="1:9" ht="16.5">
      <c r="A22" s="312" t="s">
        <v>350</v>
      </c>
      <c r="B22" s="313" t="s">
        <v>351</v>
      </c>
      <c r="C22" s="322" t="s">
        <v>180</v>
      </c>
      <c r="D22" s="312">
        <v>1</v>
      </c>
      <c r="E22" s="314"/>
      <c r="F22" s="315">
        <f t="shared" si="2"/>
        <v>0</v>
      </c>
      <c r="G22" s="314">
        <v>0</v>
      </c>
      <c r="H22" s="315">
        <f t="shared" si="3"/>
        <v>0</v>
      </c>
      <c r="I22" s="308"/>
    </row>
    <row r="23" spans="1:9" ht="16.5">
      <c r="A23" s="312" t="s">
        <v>352</v>
      </c>
      <c r="B23" s="313" t="s">
        <v>325</v>
      </c>
      <c r="C23" s="322" t="s">
        <v>180</v>
      </c>
      <c r="D23" s="312">
        <v>1</v>
      </c>
      <c r="E23" s="314"/>
      <c r="F23" s="315">
        <f t="shared" si="2"/>
        <v>0</v>
      </c>
      <c r="G23" s="314">
        <v>0</v>
      </c>
      <c r="H23" s="315">
        <f t="shared" si="3"/>
        <v>0</v>
      </c>
      <c r="I23" s="308"/>
    </row>
    <row r="24" spans="1:9" ht="16.5">
      <c r="A24" s="323"/>
      <c r="B24" s="316" t="s">
        <v>353</v>
      </c>
      <c r="C24" s="317"/>
      <c r="D24" s="317"/>
      <c r="E24" s="318"/>
      <c r="F24" s="319">
        <f>SUM(F16:F23)</f>
        <v>0</v>
      </c>
      <c r="G24" s="314"/>
      <c r="H24" s="319">
        <f>SUM(H16:H23)</f>
        <v>0</v>
      </c>
      <c r="I24" s="321"/>
    </row>
    <row r="25" spans="1:9" ht="15.75">
      <c r="A25" s="309" t="s">
        <v>354</v>
      </c>
      <c r="B25" s="310"/>
      <c r="C25" s="310"/>
      <c r="D25" s="310"/>
      <c r="E25" s="310"/>
      <c r="F25" s="310"/>
      <c r="G25" s="324"/>
      <c r="H25" s="324"/>
      <c r="I25" s="308"/>
    </row>
    <row r="26" spans="1:9" ht="16.5">
      <c r="A26" s="312" t="s">
        <v>355</v>
      </c>
      <c r="B26" s="313" t="s">
        <v>356</v>
      </c>
      <c r="C26" s="312" t="s">
        <v>127</v>
      </c>
      <c r="D26" s="312">
        <v>1</v>
      </c>
      <c r="E26" s="325">
        <v>0</v>
      </c>
      <c r="F26" s="315">
        <f>D26*E26</f>
        <v>0</v>
      </c>
      <c r="G26" s="325"/>
      <c r="H26" s="315">
        <f>D26*G26</f>
        <v>0</v>
      </c>
      <c r="I26" s="308"/>
    </row>
    <row r="27" spans="1:9" ht="15.75">
      <c r="A27" s="321"/>
      <c r="B27" s="326" t="s">
        <v>357</v>
      </c>
      <c r="C27" s="327"/>
      <c r="D27" s="327"/>
      <c r="E27" s="328"/>
      <c r="F27" s="329">
        <f>+F24+F14+F9+F26</f>
        <v>0</v>
      </c>
      <c r="G27" s="321"/>
      <c r="H27" s="329">
        <f>+H24+H14+H9+H26</f>
        <v>0</v>
      </c>
      <c r="I27" s="321"/>
    </row>
    <row r="28" spans="1:9" ht="16.5">
      <c r="A28" s="308"/>
      <c r="B28" s="308"/>
      <c r="C28" s="308"/>
      <c r="D28" s="308"/>
      <c r="E28" s="308"/>
      <c r="F28" s="330" t="s">
        <v>358</v>
      </c>
      <c r="G28" s="331"/>
      <c r="H28" s="332" t="s">
        <v>359</v>
      </c>
      <c r="I28" s="308"/>
    </row>
    <row r="29" spans="1:9" ht="21">
      <c r="A29" s="333" t="s">
        <v>357</v>
      </c>
      <c r="B29" s="333"/>
      <c r="C29" s="334">
        <f>SUM(F27,H27)</f>
        <v>0</v>
      </c>
      <c r="D29" s="335"/>
      <c r="E29" s="335"/>
      <c r="F29" s="308"/>
      <c r="G29" s="331"/>
      <c r="H29" s="336"/>
      <c r="I29" s="336"/>
    </row>
  </sheetData>
  <mergeCells count="6">
    <mergeCell ref="A2:H2"/>
    <mergeCell ref="A10:H10"/>
    <mergeCell ref="A15:H15"/>
    <mergeCell ref="A25:H25"/>
    <mergeCell ref="A29:B29"/>
    <mergeCell ref="C29:E2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M15" sqref="M15"/>
    </sheetView>
  </sheetViews>
  <sheetFormatPr defaultColWidth="9.140625" defaultRowHeight="15"/>
  <cols>
    <col min="2" max="2" width="9.140625" style="0" customWidth="1"/>
    <col min="3" max="3" width="54.8515625" style="0" customWidth="1"/>
    <col min="4" max="4" width="9.140625" style="0" customWidth="1"/>
  </cols>
  <sheetData>
    <row r="1" spans="1:7" ht="17.25" thickBot="1">
      <c r="A1" s="337"/>
      <c r="B1" s="338"/>
      <c r="C1" s="339"/>
      <c r="D1" s="340"/>
      <c r="E1" s="341"/>
      <c r="F1" s="342"/>
      <c r="G1" s="343"/>
    </row>
    <row r="2" spans="1:7" ht="19.5" thickBot="1" thickTop="1">
      <c r="A2" s="344"/>
      <c r="B2" s="345"/>
      <c r="C2" s="346" t="s">
        <v>360</v>
      </c>
      <c r="D2" s="347"/>
      <c r="E2" s="348"/>
      <c r="F2" s="349"/>
      <c r="G2" s="350"/>
    </row>
    <row r="3" spans="1:7" ht="19.5" thickBot="1" thickTop="1">
      <c r="A3" s="351"/>
      <c r="B3" s="352"/>
      <c r="C3" s="353"/>
      <c r="D3" s="354"/>
      <c r="E3" s="355"/>
      <c r="F3" s="356"/>
      <c r="G3" s="357"/>
    </row>
    <row r="4" spans="1:7" ht="17.25" thickTop="1">
      <c r="A4" s="358"/>
      <c r="B4" s="359"/>
      <c r="C4" s="360"/>
      <c r="D4" s="360"/>
      <c r="E4" s="359"/>
      <c r="F4" s="361"/>
      <c r="G4" s="362"/>
    </row>
    <row r="5" spans="1:7" ht="16.5">
      <c r="A5" s="363"/>
      <c r="B5" s="364"/>
      <c r="C5" s="365" t="s">
        <v>361</v>
      </c>
      <c r="D5" s="366"/>
      <c r="E5" s="367"/>
      <c r="F5" s="368"/>
      <c r="G5" s="369">
        <f>SUM(G12:G28)</f>
        <v>0</v>
      </c>
    </row>
    <row r="6" spans="1:7" ht="17.25" thickBot="1">
      <c r="A6" s="370"/>
      <c r="B6" s="371"/>
      <c r="C6" s="372"/>
      <c r="D6" s="373"/>
      <c r="E6" s="374"/>
      <c r="F6" s="375"/>
      <c r="G6" s="376"/>
    </row>
    <row r="7" spans="1:7" ht="17.25" thickTop="1">
      <c r="A7" s="338"/>
      <c r="B7" s="338"/>
      <c r="C7" s="377"/>
      <c r="D7" s="378"/>
      <c r="E7" s="341"/>
      <c r="F7" s="342"/>
      <c r="G7" s="379"/>
    </row>
    <row r="8" spans="1:7" ht="17.25" thickBot="1">
      <c r="A8" s="380"/>
      <c r="B8" s="381"/>
      <c r="C8" s="382"/>
      <c r="D8" s="382"/>
      <c r="E8" s="381"/>
      <c r="F8" s="383"/>
      <c r="G8" s="384"/>
    </row>
    <row r="9" spans="1:7" ht="15.75" thickBot="1">
      <c r="A9" s="385" t="s">
        <v>362</v>
      </c>
      <c r="B9" s="386" t="s">
        <v>363</v>
      </c>
      <c r="C9" s="387" t="s">
        <v>364</v>
      </c>
      <c r="D9" s="387" t="s">
        <v>107</v>
      </c>
      <c r="E9" s="387" t="s">
        <v>365</v>
      </c>
      <c r="F9" s="388" t="s">
        <v>366</v>
      </c>
      <c r="G9" s="389" t="s">
        <v>367</v>
      </c>
    </row>
    <row r="10" spans="1:7" ht="18.75" thickBot="1">
      <c r="A10" s="390"/>
      <c r="B10" s="390"/>
      <c r="C10" s="390" t="s">
        <v>368</v>
      </c>
      <c r="D10" s="391"/>
      <c r="E10" s="392"/>
      <c r="F10" s="393"/>
      <c r="G10" s="394"/>
    </row>
    <row r="11" spans="1:7" ht="17.25" thickBot="1">
      <c r="A11" s="359"/>
      <c r="B11" s="395"/>
      <c r="C11" s="396" t="s">
        <v>369</v>
      </c>
      <c r="D11" s="397"/>
      <c r="E11" s="359"/>
      <c r="F11" s="398"/>
      <c r="G11" s="399"/>
    </row>
    <row r="12" spans="1:7" ht="16.5">
      <c r="A12" s="359">
        <v>1</v>
      </c>
      <c r="B12" s="395"/>
      <c r="C12" s="400" t="s">
        <v>370</v>
      </c>
      <c r="D12" s="401" t="s">
        <v>127</v>
      </c>
      <c r="E12" s="359">
        <v>1</v>
      </c>
      <c r="F12" s="402">
        <v>0</v>
      </c>
      <c r="G12" s="403">
        <f>F12*E12</f>
        <v>0</v>
      </c>
    </row>
    <row r="13" spans="1:7" ht="16.5">
      <c r="A13" s="359">
        <v>2</v>
      </c>
      <c r="B13" s="395"/>
      <c r="C13" s="404" t="s">
        <v>371</v>
      </c>
      <c r="D13" s="401" t="s">
        <v>127</v>
      </c>
      <c r="E13" s="359">
        <v>1</v>
      </c>
      <c r="F13" s="402">
        <v>0</v>
      </c>
      <c r="G13" s="403">
        <f>F13*E13</f>
        <v>0</v>
      </c>
    </row>
    <row r="14" spans="1:7" ht="33">
      <c r="A14" s="359">
        <v>3</v>
      </c>
      <c r="B14" s="395"/>
      <c r="C14" s="404" t="s">
        <v>372</v>
      </c>
      <c r="D14" s="401" t="s">
        <v>127</v>
      </c>
      <c r="E14" s="359">
        <v>6</v>
      </c>
      <c r="F14" s="402">
        <v>0</v>
      </c>
      <c r="G14" s="403">
        <f>F14*E14</f>
        <v>0</v>
      </c>
    </row>
    <row r="15" spans="1:7" ht="17.25" thickBot="1">
      <c r="A15" s="359"/>
      <c r="B15" s="395"/>
      <c r="C15" s="404"/>
      <c r="D15" s="401"/>
      <c r="E15" s="359"/>
      <c r="F15" s="402"/>
      <c r="G15" s="403"/>
    </row>
    <row r="16" spans="1:7" ht="17.25" thickBot="1">
      <c r="A16" s="359"/>
      <c r="B16" s="395"/>
      <c r="C16" s="396" t="s">
        <v>373</v>
      </c>
      <c r="D16" s="397"/>
      <c r="E16" s="359"/>
      <c r="F16" s="402"/>
      <c r="G16" s="403"/>
    </row>
    <row r="17" spans="1:7" ht="16.5">
      <c r="A17" s="359">
        <v>4</v>
      </c>
      <c r="B17" s="395"/>
      <c r="C17" s="405" t="s">
        <v>374</v>
      </c>
      <c r="D17" s="401" t="s">
        <v>339</v>
      </c>
      <c r="E17" s="359">
        <v>1290</v>
      </c>
      <c r="F17" s="402">
        <v>0</v>
      </c>
      <c r="G17" s="403">
        <f>F17*E17</f>
        <v>0</v>
      </c>
    </row>
    <row r="18" spans="1:7" ht="16.5">
      <c r="A18" s="406">
        <v>5</v>
      </c>
      <c r="B18" s="406"/>
      <c r="C18" s="407" t="s">
        <v>375</v>
      </c>
      <c r="D18" s="401" t="s">
        <v>127</v>
      </c>
      <c r="E18" s="406">
        <v>400</v>
      </c>
      <c r="F18" s="408">
        <v>0</v>
      </c>
      <c r="G18" s="403">
        <f>F18*E18</f>
        <v>0</v>
      </c>
    </row>
    <row r="19" spans="1:7" ht="16.5">
      <c r="A19" s="406">
        <v>6</v>
      </c>
      <c r="B19" s="406"/>
      <c r="C19" s="407" t="s">
        <v>376</v>
      </c>
      <c r="D19" s="401" t="s">
        <v>339</v>
      </c>
      <c r="E19" s="406">
        <v>220</v>
      </c>
      <c r="F19" s="408">
        <v>0</v>
      </c>
      <c r="G19" s="403">
        <f>F19*E19</f>
        <v>0</v>
      </c>
    </row>
    <row r="20" spans="1:7" ht="17.25" thickBot="1">
      <c r="A20" s="395"/>
      <c r="B20" s="409"/>
      <c r="C20" s="407"/>
      <c r="D20" s="401"/>
      <c r="E20" s="401"/>
      <c r="F20" s="408"/>
      <c r="G20" s="403"/>
    </row>
    <row r="21" spans="1:7" ht="17.25" thickBot="1">
      <c r="A21" s="359"/>
      <c r="B21" s="395"/>
      <c r="C21" s="396" t="s">
        <v>377</v>
      </c>
      <c r="D21" s="397"/>
      <c r="E21" s="359"/>
      <c r="F21" s="408"/>
      <c r="G21" s="403"/>
    </row>
    <row r="22" spans="1:7" ht="16.5">
      <c r="A22" s="395">
        <v>7</v>
      </c>
      <c r="B22" s="409"/>
      <c r="C22" s="407" t="s">
        <v>378</v>
      </c>
      <c r="D22" s="401" t="s">
        <v>180</v>
      </c>
      <c r="E22" s="401">
        <v>1</v>
      </c>
      <c r="F22" s="408">
        <v>0</v>
      </c>
      <c r="G22" s="403">
        <f aca="true" t="shared" si="0" ref="G22:G27">F22*E22</f>
        <v>0</v>
      </c>
    </row>
    <row r="23" spans="1:7" ht="16.5">
      <c r="A23" s="395">
        <v>8</v>
      </c>
      <c r="B23" s="409"/>
      <c r="C23" s="407" t="s">
        <v>379</v>
      </c>
      <c r="D23" s="401" t="s">
        <v>180</v>
      </c>
      <c r="E23" s="401">
        <v>1</v>
      </c>
      <c r="F23" s="408">
        <v>0</v>
      </c>
      <c r="G23" s="403">
        <f t="shared" si="0"/>
        <v>0</v>
      </c>
    </row>
    <row r="24" spans="1:7" ht="16.5">
      <c r="A24" s="395">
        <v>9</v>
      </c>
      <c r="B24" s="409"/>
      <c r="C24" s="407" t="s">
        <v>380</v>
      </c>
      <c r="D24" s="401" t="s">
        <v>381</v>
      </c>
      <c r="E24" s="401">
        <v>20</v>
      </c>
      <c r="F24" s="408">
        <v>0</v>
      </c>
      <c r="G24" s="403">
        <f t="shared" si="0"/>
        <v>0</v>
      </c>
    </row>
    <row r="25" spans="1:7" ht="16.5">
      <c r="A25" s="395">
        <v>10</v>
      </c>
      <c r="B25" s="409"/>
      <c r="C25" s="407" t="s">
        <v>382</v>
      </c>
      <c r="D25" s="401" t="s">
        <v>127</v>
      </c>
      <c r="E25" s="401">
        <f>E14*6</f>
        <v>36</v>
      </c>
      <c r="F25" s="408">
        <v>0</v>
      </c>
      <c r="G25" s="403">
        <f t="shared" si="0"/>
        <v>0</v>
      </c>
    </row>
    <row r="26" spans="1:7" ht="16.5">
      <c r="A26" s="395">
        <v>11</v>
      </c>
      <c r="B26" s="409"/>
      <c r="C26" s="407" t="s">
        <v>383</v>
      </c>
      <c r="D26" s="401" t="s">
        <v>127</v>
      </c>
      <c r="E26" s="401">
        <f>E25</f>
        <v>36</v>
      </c>
      <c r="F26" s="408">
        <v>0</v>
      </c>
      <c r="G26" s="403">
        <f t="shared" si="0"/>
        <v>0</v>
      </c>
    </row>
    <row r="27" spans="1:7" ht="16.5">
      <c r="A27" s="395">
        <v>12</v>
      </c>
      <c r="B27" s="409"/>
      <c r="C27" s="407" t="s">
        <v>384</v>
      </c>
      <c r="D27" s="401" t="s">
        <v>180</v>
      </c>
      <c r="E27" s="401">
        <v>1</v>
      </c>
      <c r="F27" s="408">
        <v>0</v>
      </c>
      <c r="G27" s="403">
        <f t="shared" si="0"/>
        <v>0</v>
      </c>
    </row>
    <row r="28" spans="1:7" ht="16.5">
      <c r="A28" s="395"/>
      <c r="B28" s="409"/>
      <c r="C28" s="407"/>
      <c r="D28" s="401"/>
      <c r="E28" s="401"/>
      <c r="F28" s="408"/>
      <c r="G28" s="403"/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"/>
  <sheetViews>
    <sheetView workbookViewId="0" topLeftCell="A10">
      <selection activeCell="N15" sqref="N15"/>
    </sheetView>
  </sheetViews>
  <sheetFormatPr defaultColWidth="9.140625" defaultRowHeight="15"/>
  <cols>
    <col min="1" max="1" width="9.140625" style="0" customWidth="1"/>
    <col min="2" max="2" width="28.140625" style="0" customWidth="1"/>
    <col min="3" max="3" width="16.00390625" style="0" customWidth="1"/>
    <col min="4" max="4" width="13.00390625" style="0" customWidth="1"/>
    <col min="5" max="5" width="11.57421875" style="0" customWidth="1"/>
    <col min="6" max="6" width="12.00390625" style="0" customWidth="1"/>
    <col min="7" max="7" width="12.140625" style="0" customWidth="1"/>
    <col min="8" max="8" width="11.00390625" style="0" customWidth="1"/>
    <col min="9" max="9" width="13.140625" style="0" customWidth="1"/>
    <col min="10" max="10" width="15.7109375" style="0" customWidth="1"/>
    <col min="11" max="11" width="13.28125" style="0" customWidth="1"/>
  </cols>
  <sheetData>
    <row r="1" spans="2:11" ht="15">
      <c r="B1" s="410"/>
      <c r="C1" s="410"/>
      <c r="D1" s="410"/>
      <c r="E1" s="410"/>
      <c r="F1" s="411"/>
      <c r="G1" s="411"/>
      <c r="H1" s="410"/>
      <c r="I1" s="410"/>
      <c r="J1" s="410"/>
      <c r="K1" s="410"/>
    </row>
    <row r="2" spans="2:11" ht="15.75">
      <c r="B2" s="412" t="s">
        <v>385</v>
      </c>
      <c r="C2" s="413"/>
      <c r="D2" s="413"/>
      <c r="E2" s="414"/>
      <c r="F2" s="415"/>
      <c r="G2" s="415"/>
      <c r="H2" s="416"/>
      <c r="I2" s="416"/>
      <c r="J2" s="416"/>
      <c r="K2" s="417">
        <f>SUM(K14)</f>
        <v>0</v>
      </c>
    </row>
    <row r="3" spans="2:11" ht="15.75">
      <c r="B3" s="412" t="s">
        <v>386</v>
      </c>
      <c r="C3" s="413"/>
      <c r="D3" s="413"/>
      <c r="E3" s="414"/>
      <c r="F3" s="415"/>
      <c r="G3" s="415"/>
      <c r="H3" s="416"/>
      <c r="I3" s="416"/>
      <c r="J3" s="416"/>
      <c r="K3" s="417">
        <f>SUM(K32)</f>
        <v>0</v>
      </c>
    </row>
    <row r="4" spans="2:11" ht="15.75">
      <c r="B4" s="412" t="s">
        <v>387</v>
      </c>
      <c r="C4" s="413"/>
      <c r="D4" s="413"/>
      <c r="E4" s="414"/>
      <c r="F4" s="415"/>
      <c r="G4" s="415"/>
      <c r="H4" s="416"/>
      <c r="I4" s="416"/>
      <c r="J4" s="416"/>
      <c r="K4" s="417">
        <f>SUM(K46)</f>
        <v>0</v>
      </c>
    </row>
    <row r="5" spans="2:11" ht="15.75">
      <c r="B5" s="412" t="s">
        <v>388</v>
      </c>
      <c r="C5" s="413"/>
      <c r="D5" s="413"/>
      <c r="E5" s="414"/>
      <c r="F5" s="415"/>
      <c r="G5" s="415"/>
      <c r="H5" s="416"/>
      <c r="I5" s="416"/>
      <c r="J5" s="416"/>
      <c r="K5" s="417">
        <f>SUM(K64)</f>
        <v>0</v>
      </c>
    </row>
    <row r="6" spans="2:11" ht="15.75">
      <c r="B6" s="418" t="s">
        <v>389</v>
      </c>
      <c r="C6" s="419"/>
      <c r="D6" s="419"/>
      <c r="E6" s="420"/>
      <c r="F6" s="421"/>
      <c r="G6" s="421"/>
      <c r="H6" s="422"/>
      <c r="I6" s="422"/>
      <c r="J6" s="422"/>
      <c r="K6" s="417">
        <f>SUM(K73)</f>
        <v>0</v>
      </c>
    </row>
    <row r="7" spans="2:11" ht="15.75">
      <c r="B7" s="412" t="s">
        <v>390</v>
      </c>
      <c r="C7" s="419"/>
      <c r="D7" s="419"/>
      <c r="E7" s="420"/>
      <c r="F7" s="421"/>
      <c r="G7" s="421"/>
      <c r="H7" s="422"/>
      <c r="I7" s="422"/>
      <c r="J7" s="422"/>
      <c r="K7" s="417">
        <f>SUM(K2:K6)</f>
        <v>0</v>
      </c>
    </row>
    <row r="8" spans="2:11" ht="15.75">
      <c r="B8" s="412"/>
      <c r="C8" s="419"/>
      <c r="D8" s="419"/>
      <c r="E8" s="420"/>
      <c r="F8" s="421"/>
      <c r="G8" s="421"/>
      <c r="H8" s="422"/>
      <c r="I8" s="422"/>
      <c r="J8" s="422"/>
      <c r="K8" s="417"/>
    </row>
    <row r="9" spans="2:11" ht="15.75">
      <c r="B9" s="412" t="s">
        <v>391</v>
      </c>
      <c r="C9" s="419"/>
      <c r="D9" s="419"/>
      <c r="E9" s="420"/>
      <c r="F9" s="421"/>
      <c r="G9" s="421"/>
      <c r="H9" s="422"/>
      <c r="I9" s="422"/>
      <c r="J9" s="422"/>
      <c r="K9" s="417">
        <f>SUM(K7)</f>
        <v>0</v>
      </c>
    </row>
    <row r="10" spans="2:11" ht="15">
      <c r="B10" s="410"/>
      <c r="C10" s="410"/>
      <c r="D10" s="410"/>
      <c r="E10" s="410"/>
      <c r="F10" s="411"/>
      <c r="G10" s="411"/>
      <c r="H10" s="410"/>
      <c r="I10" s="410"/>
      <c r="J10" s="410"/>
      <c r="K10" s="410"/>
    </row>
    <row r="11" spans="2:11" ht="15.75" thickBot="1">
      <c r="B11" s="410"/>
      <c r="C11" s="410"/>
      <c r="D11" s="410"/>
      <c r="E11" s="410"/>
      <c r="F11" s="411"/>
      <c r="G11" s="411"/>
      <c r="H11" s="410"/>
      <c r="I11" s="410"/>
      <c r="J11" s="410"/>
      <c r="K11" s="410"/>
    </row>
    <row r="12" spans="2:11" ht="15.75" thickBot="1">
      <c r="B12" s="423"/>
      <c r="C12" s="424"/>
      <c r="D12" s="424"/>
      <c r="E12" s="425"/>
      <c r="F12" s="426" t="s">
        <v>392</v>
      </c>
      <c r="G12" s="427" t="s">
        <v>392</v>
      </c>
      <c r="H12" s="428" t="s">
        <v>392</v>
      </c>
      <c r="I12" s="429" t="s">
        <v>393</v>
      </c>
      <c r="J12" s="430" t="s">
        <v>393</v>
      </c>
      <c r="K12" s="428" t="s">
        <v>393</v>
      </c>
    </row>
    <row r="13" spans="2:11" ht="24.75" thickBot="1">
      <c r="B13" s="431" t="s">
        <v>394</v>
      </c>
      <c r="C13" s="432" t="s">
        <v>395</v>
      </c>
      <c r="D13" s="432" t="s">
        <v>396</v>
      </c>
      <c r="E13" s="433" t="s">
        <v>397</v>
      </c>
      <c r="F13" s="434" t="s">
        <v>398</v>
      </c>
      <c r="G13" s="435" t="s">
        <v>399</v>
      </c>
      <c r="H13" s="436" t="s">
        <v>400</v>
      </c>
      <c r="I13" s="437" t="s">
        <v>401</v>
      </c>
      <c r="J13" s="438" t="s">
        <v>402</v>
      </c>
      <c r="K13" s="436" t="s">
        <v>403</v>
      </c>
    </row>
    <row r="14" spans="2:11" ht="15">
      <c r="B14" s="439" t="s">
        <v>385</v>
      </c>
      <c r="C14" s="440"/>
      <c r="D14" s="440"/>
      <c r="E14" s="441"/>
      <c r="F14" s="442"/>
      <c r="G14" s="442"/>
      <c r="H14" s="443"/>
      <c r="I14" s="443"/>
      <c r="J14" s="443"/>
      <c r="K14" s="444">
        <f>SUM(K30)</f>
        <v>0</v>
      </c>
    </row>
    <row r="15" spans="2:11" ht="15">
      <c r="B15" s="445" t="s">
        <v>404</v>
      </c>
      <c r="C15" s="440"/>
      <c r="D15" s="440"/>
      <c r="E15" s="441"/>
      <c r="F15" s="442"/>
      <c r="G15" s="442"/>
      <c r="H15" s="443"/>
      <c r="I15" s="443"/>
      <c r="J15" s="443"/>
      <c r="K15" s="443"/>
    </row>
    <row r="16" spans="2:11" ht="15">
      <c r="B16" s="445" t="s">
        <v>405</v>
      </c>
      <c r="C16" s="440"/>
      <c r="D16" s="440" t="s">
        <v>339</v>
      </c>
      <c r="E16" s="441">
        <v>8</v>
      </c>
      <c r="F16" s="442"/>
      <c r="G16" s="442">
        <v>0</v>
      </c>
      <c r="H16" s="443">
        <f>SUM(F16+G16)</f>
        <v>0</v>
      </c>
      <c r="I16" s="443">
        <f aca="true" t="shared" si="0" ref="I16:I27">SUM(F16*E16)</f>
        <v>0</v>
      </c>
      <c r="J16" s="443">
        <f aca="true" t="shared" si="1" ref="J16:J27">SUM(G16*E16)</f>
        <v>0</v>
      </c>
      <c r="K16" s="443">
        <f aca="true" t="shared" si="2" ref="K16:K27">SUM(I16+J16)</f>
        <v>0</v>
      </c>
    </row>
    <row r="17" spans="2:11" ht="15">
      <c r="B17" s="445" t="s">
        <v>406</v>
      </c>
      <c r="C17" s="440"/>
      <c r="D17" s="440"/>
      <c r="E17" s="441"/>
      <c r="F17" s="442"/>
      <c r="G17" s="442"/>
      <c r="H17" s="443"/>
      <c r="I17" s="443"/>
      <c r="J17" s="443"/>
      <c r="K17" s="443"/>
    </row>
    <row r="18" spans="2:11" ht="15">
      <c r="B18" s="445" t="s">
        <v>407</v>
      </c>
      <c r="C18" s="440"/>
      <c r="D18" s="440" t="s">
        <v>339</v>
      </c>
      <c r="E18" s="441">
        <v>3</v>
      </c>
      <c r="F18" s="442"/>
      <c r="G18" s="442">
        <v>0</v>
      </c>
      <c r="H18" s="443">
        <f>SUM(F18+G18)</f>
        <v>0</v>
      </c>
      <c r="I18" s="443">
        <f>SUM(F18*E18)</f>
        <v>0</v>
      </c>
      <c r="J18" s="443">
        <f>SUM(G18*E18)</f>
        <v>0</v>
      </c>
      <c r="K18" s="443">
        <f>SUM(I18+J18)</f>
        <v>0</v>
      </c>
    </row>
    <row r="19" spans="2:11" ht="15">
      <c r="B19" s="445" t="s">
        <v>408</v>
      </c>
      <c r="C19" s="440"/>
      <c r="D19" s="440" t="s">
        <v>339</v>
      </c>
      <c r="E19" s="441">
        <v>1</v>
      </c>
      <c r="F19" s="442"/>
      <c r="G19" s="442">
        <v>0</v>
      </c>
      <c r="H19" s="443">
        <f>SUM(F19+G19)</f>
        <v>0</v>
      </c>
      <c r="I19" s="443">
        <f>SUM(F19*E19)</f>
        <v>0</v>
      </c>
      <c r="J19" s="443">
        <f>SUM(G19*E19)</f>
        <v>0</v>
      </c>
      <c r="K19" s="443">
        <f>SUM(I19+J19)</f>
        <v>0</v>
      </c>
    </row>
    <row r="20" spans="2:11" ht="15">
      <c r="B20" s="445" t="s">
        <v>409</v>
      </c>
      <c r="C20" s="440"/>
      <c r="D20" s="440" t="s">
        <v>339</v>
      </c>
      <c r="E20" s="441">
        <v>1</v>
      </c>
      <c r="F20" s="442"/>
      <c r="G20" s="442">
        <v>0</v>
      </c>
      <c r="H20" s="443">
        <f>SUM(F20+G20)</f>
        <v>0</v>
      </c>
      <c r="I20" s="443">
        <f>SUM(F20*E20)</f>
        <v>0</v>
      </c>
      <c r="J20" s="443">
        <f>SUM(G20*E20)</f>
        <v>0</v>
      </c>
      <c r="K20" s="443">
        <f>SUM(I20+J20)</f>
        <v>0</v>
      </c>
    </row>
    <row r="21" spans="2:11" ht="24">
      <c r="B21" s="445" t="s">
        <v>410</v>
      </c>
      <c r="C21" s="440"/>
      <c r="D21" s="440" t="s">
        <v>339</v>
      </c>
      <c r="E21" s="441">
        <f>SUM(E16:E16)</f>
        <v>8</v>
      </c>
      <c r="F21" s="442"/>
      <c r="G21" s="442">
        <v>0</v>
      </c>
      <c r="H21" s="443">
        <f>SUM(F21+G21)</f>
        <v>0</v>
      </c>
      <c r="I21" s="443">
        <f t="shared" si="0"/>
        <v>0</v>
      </c>
      <c r="J21" s="443">
        <f t="shared" si="1"/>
        <v>0</v>
      </c>
      <c r="K21" s="443">
        <f t="shared" si="2"/>
        <v>0</v>
      </c>
    </row>
    <row r="22" spans="2:11" ht="48">
      <c r="B22" s="445" t="s">
        <v>411</v>
      </c>
      <c r="C22" s="440"/>
      <c r="D22" s="440" t="s">
        <v>180</v>
      </c>
      <c r="E22" s="441">
        <v>1</v>
      </c>
      <c r="F22" s="442"/>
      <c r="G22" s="442">
        <v>0</v>
      </c>
      <c r="H22" s="443">
        <f aca="true" t="shared" si="3" ref="H22:H27">SUM(F22+G22)</f>
        <v>0</v>
      </c>
      <c r="I22" s="443">
        <f t="shared" si="0"/>
        <v>0</v>
      </c>
      <c r="J22" s="443">
        <f t="shared" si="1"/>
        <v>0</v>
      </c>
      <c r="K22" s="443">
        <f t="shared" si="2"/>
        <v>0</v>
      </c>
    </row>
    <row r="23" spans="2:11" ht="15">
      <c r="B23" s="445" t="s">
        <v>412</v>
      </c>
      <c r="C23" s="440"/>
      <c r="D23" s="440" t="s">
        <v>127</v>
      </c>
      <c r="E23" s="441">
        <v>1</v>
      </c>
      <c r="F23" s="442"/>
      <c r="G23" s="442">
        <v>0</v>
      </c>
      <c r="H23" s="443">
        <f t="shared" si="3"/>
        <v>0</v>
      </c>
      <c r="I23" s="443">
        <f t="shared" si="0"/>
        <v>0</v>
      </c>
      <c r="J23" s="443">
        <f t="shared" si="1"/>
        <v>0</v>
      </c>
      <c r="K23" s="443">
        <f t="shared" si="2"/>
        <v>0</v>
      </c>
    </row>
    <row r="24" spans="2:11" ht="15">
      <c r="B24" s="445" t="s">
        <v>413</v>
      </c>
      <c r="C24" s="440"/>
      <c r="D24" s="440" t="s">
        <v>127</v>
      </c>
      <c r="E24" s="441">
        <v>1</v>
      </c>
      <c r="F24" s="442"/>
      <c r="G24" s="442">
        <v>0</v>
      </c>
      <c r="H24" s="443">
        <f t="shared" si="3"/>
        <v>0</v>
      </c>
      <c r="I24" s="443">
        <f t="shared" si="0"/>
        <v>0</v>
      </c>
      <c r="J24" s="443">
        <f t="shared" si="1"/>
        <v>0</v>
      </c>
      <c r="K24" s="443">
        <f t="shared" si="2"/>
        <v>0</v>
      </c>
    </row>
    <row r="25" spans="2:11" ht="15">
      <c r="B25" s="445" t="s">
        <v>414</v>
      </c>
      <c r="C25" s="440"/>
      <c r="D25" s="440" t="s">
        <v>127</v>
      </c>
      <c r="E25" s="441">
        <v>1</v>
      </c>
      <c r="F25" s="442"/>
      <c r="G25" s="442">
        <v>0</v>
      </c>
      <c r="H25" s="443">
        <f t="shared" si="3"/>
        <v>0</v>
      </c>
      <c r="I25" s="443">
        <f t="shared" si="0"/>
        <v>0</v>
      </c>
      <c r="J25" s="443">
        <f t="shared" si="1"/>
        <v>0</v>
      </c>
      <c r="K25" s="443">
        <f t="shared" si="2"/>
        <v>0</v>
      </c>
    </row>
    <row r="26" spans="2:11" ht="15">
      <c r="B26" s="445" t="s">
        <v>415</v>
      </c>
      <c r="C26" s="440"/>
      <c r="D26" s="440" t="s">
        <v>127</v>
      </c>
      <c r="E26" s="441">
        <v>1</v>
      </c>
      <c r="F26" s="442"/>
      <c r="G26" s="442">
        <v>0</v>
      </c>
      <c r="H26" s="443">
        <f t="shared" si="3"/>
        <v>0</v>
      </c>
      <c r="I26" s="443">
        <f t="shared" si="0"/>
        <v>0</v>
      </c>
      <c r="J26" s="443">
        <f t="shared" si="1"/>
        <v>0</v>
      </c>
      <c r="K26" s="443">
        <f t="shared" si="2"/>
        <v>0</v>
      </c>
    </row>
    <row r="27" spans="2:11" ht="15">
      <c r="B27" s="445" t="s">
        <v>416</v>
      </c>
      <c r="C27" s="440"/>
      <c r="D27" s="440" t="s">
        <v>127</v>
      </c>
      <c r="E27" s="441">
        <v>1</v>
      </c>
      <c r="F27" s="442"/>
      <c r="G27" s="442">
        <v>0</v>
      </c>
      <c r="H27" s="443">
        <f t="shared" si="3"/>
        <v>0</v>
      </c>
      <c r="I27" s="443">
        <f t="shared" si="0"/>
        <v>0</v>
      </c>
      <c r="J27" s="443">
        <f t="shared" si="1"/>
        <v>0</v>
      </c>
      <c r="K27" s="443">
        <f t="shared" si="2"/>
        <v>0</v>
      </c>
    </row>
    <row r="28" spans="2:11" ht="15">
      <c r="B28" s="439" t="s">
        <v>390</v>
      </c>
      <c r="C28" s="440"/>
      <c r="D28" s="440"/>
      <c r="E28" s="441"/>
      <c r="F28" s="442"/>
      <c r="G28" s="442"/>
      <c r="H28" s="443"/>
      <c r="I28" s="443"/>
      <c r="J28" s="443"/>
      <c r="K28" s="444">
        <f>SUM(K16:K22)</f>
        <v>0</v>
      </c>
    </row>
    <row r="29" spans="2:11" ht="15">
      <c r="B29" s="439" t="s">
        <v>417</v>
      </c>
      <c r="C29" s="440"/>
      <c r="D29" s="440" t="s">
        <v>418</v>
      </c>
      <c r="E29" s="441">
        <v>1</v>
      </c>
      <c r="F29" s="442"/>
      <c r="G29" s="442"/>
      <c r="H29" s="443"/>
      <c r="I29" s="443"/>
      <c r="J29" s="443"/>
      <c r="K29" s="444">
        <f>SUM(K28)*0.035</f>
        <v>0</v>
      </c>
    </row>
    <row r="30" spans="2:11" ht="15">
      <c r="B30" s="446" t="s">
        <v>419</v>
      </c>
      <c r="C30" s="440"/>
      <c r="D30" s="440"/>
      <c r="E30" s="441"/>
      <c r="F30" s="442"/>
      <c r="G30" s="442"/>
      <c r="H30" s="443"/>
      <c r="I30" s="443"/>
      <c r="J30" s="443"/>
      <c r="K30" s="444">
        <f>SUM(K28:K29)</f>
        <v>0</v>
      </c>
    </row>
    <row r="31" spans="2:11" ht="15">
      <c r="B31" s="447"/>
      <c r="C31" s="447"/>
      <c r="D31" s="447"/>
      <c r="E31" s="447"/>
      <c r="F31" s="448"/>
      <c r="G31" s="448"/>
      <c r="H31" s="447"/>
      <c r="I31" s="447"/>
      <c r="J31" s="447"/>
      <c r="K31" s="447"/>
    </row>
    <row r="32" spans="2:11" ht="15">
      <c r="B32" s="439" t="s">
        <v>420</v>
      </c>
      <c r="C32" s="440"/>
      <c r="D32" s="440"/>
      <c r="E32" s="441"/>
      <c r="F32" s="442"/>
      <c r="G32" s="442"/>
      <c r="H32" s="443"/>
      <c r="I32" s="443"/>
      <c r="J32" s="443"/>
      <c r="K32" s="444">
        <f>SUM(K44)</f>
        <v>0</v>
      </c>
    </row>
    <row r="33" spans="2:11" ht="24">
      <c r="B33" s="445" t="s">
        <v>421</v>
      </c>
      <c r="C33" s="440"/>
      <c r="D33" s="440" t="s">
        <v>339</v>
      </c>
      <c r="E33" s="441"/>
      <c r="F33" s="442"/>
      <c r="G33" s="442"/>
      <c r="H33" s="443"/>
      <c r="I33" s="443"/>
      <c r="J33" s="443"/>
      <c r="K33" s="443"/>
    </row>
    <row r="34" spans="2:11" ht="15">
      <c r="B34" s="449" t="s">
        <v>422</v>
      </c>
      <c r="C34" s="440" t="s">
        <v>400</v>
      </c>
      <c r="D34" s="440" t="s">
        <v>339</v>
      </c>
      <c r="E34" s="441">
        <v>6</v>
      </c>
      <c r="F34" s="450">
        <v>0</v>
      </c>
      <c r="G34" s="442">
        <v>0</v>
      </c>
      <c r="H34" s="443">
        <f aca="true" t="shared" si="4" ref="H34:H41">SUM(F34+G34)</f>
        <v>0</v>
      </c>
      <c r="I34" s="443">
        <f aca="true" t="shared" si="5" ref="I34:I41">SUM(F34*E34)</f>
        <v>0</v>
      </c>
      <c r="J34" s="443">
        <f aca="true" t="shared" si="6" ref="J34:J41">SUM(G34*E34)</f>
        <v>0</v>
      </c>
      <c r="K34" s="443">
        <f aca="true" t="shared" si="7" ref="K34:K41">SUM(I34+J34)</f>
        <v>0</v>
      </c>
    </row>
    <row r="35" spans="2:11" ht="15">
      <c r="B35" s="449" t="s">
        <v>423</v>
      </c>
      <c r="C35" s="440" t="s">
        <v>400</v>
      </c>
      <c r="D35" s="440" t="s">
        <v>339</v>
      </c>
      <c r="E35" s="441">
        <v>1</v>
      </c>
      <c r="F35" s="450">
        <v>0</v>
      </c>
      <c r="G35" s="442">
        <v>0</v>
      </c>
      <c r="H35" s="443">
        <f t="shared" si="4"/>
        <v>0</v>
      </c>
      <c r="I35" s="443">
        <f t="shared" si="5"/>
        <v>0</v>
      </c>
      <c r="J35" s="443">
        <f t="shared" si="6"/>
        <v>0</v>
      </c>
      <c r="K35" s="443">
        <f t="shared" si="7"/>
        <v>0</v>
      </c>
    </row>
    <row r="36" spans="2:11" ht="15">
      <c r="B36" s="449" t="s">
        <v>424</v>
      </c>
      <c r="C36" s="440" t="s">
        <v>400</v>
      </c>
      <c r="D36" s="440" t="s">
        <v>339</v>
      </c>
      <c r="E36" s="441">
        <v>1</v>
      </c>
      <c r="F36" s="450">
        <v>0</v>
      </c>
      <c r="G36" s="442">
        <v>0</v>
      </c>
      <c r="H36" s="443">
        <f t="shared" si="4"/>
        <v>0</v>
      </c>
      <c r="I36" s="443">
        <f t="shared" si="5"/>
        <v>0</v>
      </c>
      <c r="J36" s="443">
        <f t="shared" si="6"/>
        <v>0</v>
      </c>
      <c r="K36" s="443">
        <f t="shared" si="7"/>
        <v>0</v>
      </c>
    </row>
    <row r="37" spans="2:11" ht="15">
      <c r="B37" s="445" t="s">
        <v>425</v>
      </c>
      <c r="C37" s="440" t="s">
        <v>400</v>
      </c>
      <c r="D37" s="440" t="s">
        <v>180</v>
      </c>
      <c r="E37" s="441">
        <v>1</v>
      </c>
      <c r="F37" s="450">
        <v>0</v>
      </c>
      <c r="G37" s="442">
        <v>0</v>
      </c>
      <c r="H37" s="443">
        <f t="shared" si="4"/>
        <v>0</v>
      </c>
      <c r="I37" s="443">
        <f t="shared" si="5"/>
        <v>0</v>
      </c>
      <c r="J37" s="443">
        <f t="shared" si="6"/>
        <v>0</v>
      </c>
      <c r="K37" s="443">
        <f t="shared" si="7"/>
        <v>0</v>
      </c>
    </row>
    <row r="38" spans="2:11" ht="24">
      <c r="B38" s="445" t="s">
        <v>426</v>
      </c>
      <c r="C38" s="440" t="s">
        <v>400</v>
      </c>
      <c r="D38" s="440" t="s">
        <v>180</v>
      </c>
      <c r="E38" s="441">
        <v>1</v>
      </c>
      <c r="F38" s="451">
        <v>0</v>
      </c>
      <c r="G38" s="442">
        <v>0</v>
      </c>
      <c r="H38" s="443">
        <f t="shared" si="4"/>
        <v>0</v>
      </c>
      <c r="I38" s="443">
        <f t="shared" si="5"/>
        <v>0</v>
      </c>
      <c r="J38" s="443">
        <f t="shared" si="6"/>
        <v>0</v>
      </c>
      <c r="K38" s="443">
        <f t="shared" si="7"/>
        <v>0</v>
      </c>
    </row>
    <row r="39" spans="2:11" ht="24">
      <c r="B39" s="445" t="s">
        <v>427</v>
      </c>
      <c r="C39" s="440" t="s">
        <v>400</v>
      </c>
      <c r="D39" s="440" t="s">
        <v>428</v>
      </c>
      <c r="E39" s="441">
        <v>2</v>
      </c>
      <c r="F39" s="451">
        <v>0</v>
      </c>
      <c r="G39" s="442">
        <v>0</v>
      </c>
      <c r="H39" s="443">
        <f t="shared" si="4"/>
        <v>0</v>
      </c>
      <c r="I39" s="443">
        <f t="shared" si="5"/>
        <v>0</v>
      </c>
      <c r="J39" s="443">
        <f t="shared" si="6"/>
        <v>0</v>
      </c>
      <c r="K39" s="443">
        <f t="shared" si="7"/>
        <v>0</v>
      </c>
    </row>
    <row r="40" spans="2:11" ht="15">
      <c r="B40" s="445" t="s">
        <v>429</v>
      </c>
      <c r="C40" s="440"/>
      <c r="D40" s="440" t="s">
        <v>339</v>
      </c>
      <c r="E40" s="441">
        <v>5</v>
      </c>
      <c r="F40" s="442">
        <v>0</v>
      </c>
      <c r="G40" s="442">
        <v>0</v>
      </c>
      <c r="H40" s="443">
        <f t="shared" si="4"/>
        <v>0</v>
      </c>
      <c r="I40" s="443">
        <f t="shared" si="5"/>
        <v>0</v>
      </c>
      <c r="J40" s="443">
        <f t="shared" si="6"/>
        <v>0</v>
      </c>
      <c r="K40" s="443">
        <f t="shared" si="7"/>
        <v>0</v>
      </c>
    </row>
    <row r="41" spans="2:11" ht="15">
      <c r="B41" s="445" t="s">
        <v>430</v>
      </c>
      <c r="C41" s="440" t="s">
        <v>400</v>
      </c>
      <c r="D41" s="440" t="s">
        <v>180</v>
      </c>
      <c r="E41" s="441">
        <v>1</v>
      </c>
      <c r="F41" s="442">
        <f>SUM(K34:K40)*0.05</f>
        <v>0</v>
      </c>
      <c r="G41" s="442">
        <v>0</v>
      </c>
      <c r="H41" s="443">
        <f t="shared" si="4"/>
        <v>0</v>
      </c>
      <c r="I41" s="443">
        <f t="shared" si="5"/>
        <v>0</v>
      </c>
      <c r="J41" s="443">
        <f t="shared" si="6"/>
        <v>0</v>
      </c>
      <c r="K41" s="443">
        <f t="shared" si="7"/>
        <v>0</v>
      </c>
    </row>
    <row r="42" spans="2:11" ht="15">
      <c r="B42" s="439" t="s">
        <v>390</v>
      </c>
      <c r="C42" s="452"/>
      <c r="D42" s="452"/>
      <c r="E42" s="453"/>
      <c r="F42" s="454"/>
      <c r="G42" s="454"/>
      <c r="H42" s="455"/>
      <c r="I42" s="455"/>
      <c r="J42" s="455"/>
      <c r="K42" s="444">
        <f>SUM(K34:K41)</f>
        <v>0</v>
      </c>
    </row>
    <row r="43" spans="2:11" ht="15">
      <c r="B43" s="439" t="s">
        <v>417</v>
      </c>
      <c r="C43" s="440"/>
      <c r="D43" s="440" t="s">
        <v>418</v>
      </c>
      <c r="E43" s="441">
        <v>1</v>
      </c>
      <c r="F43" s="442"/>
      <c r="G43" s="442"/>
      <c r="H43" s="443"/>
      <c r="I43" s="443"/>
      <c r="J43" s="443"/>
      <c r="K43" s="443">
        <f>SUM(K42)*0.025</f>
        <v>0</v>
      </c>
    </row>
    <row r="44" spans="2:11" ht="15">
      <c r="B44" s="456" t="s">
        <v>431</v>
      </c>
      <c r="C44" s="440"/>
      <c r="D44" s="440"/>
      <c r="E44" s="441"/>
      <c r="F44" s="442"/>
      <c r="G44" s="442"/>
      <c r="H44" s="443"/>
      <c r="I44" s="443"/>
      <c r="J44" s="443"/>
      <c r="K44" s="444">
        <f>SUM(K42:K43)</f>
        <v>0</v>
      </c>
    </row>
    <row r="45" spans="2:11" ht="15">
      <c r="B45" s="445"/>
      <c r="C45" s="440"/>
      <c r="D45" s="440"/>
      <c r="E45" s="441"/>
      <c r="F45" s="442"/>
      <c r="G45" s="442"/>
      <c r="H45" s="443"/>
      <c r="I45" s="443"/>
      <c r="J45" s="443"/>
      <c r="K45" s="443"/>
    </row>
    <row r="46" spans="2:11" ht="15">
      <c r="B46" s="439" t="s">
        <v>432</v>
      </c>
      <c r="C46" s="440"/>
      <c r="D46" s="440"/>
      <c r="E46" s="441"/>
      <c r="F46" s="442"/>
      <c r="G46" s="442"/>
      <c r="H46" s="443"/>
      <c r="I46" s="443"/>
      <c r="J46" s="443"/>
      <c r="K46" s="444">
        <f>SUM(K62)</f>
        <v>0</v>
      </c>
    </row>
    <row r="47" spans="2:11" ht="15">
      <c r="B47" s="445" t="s">
        <v>433</v>
      </c>
      <c r="C47" s="440"/>
      <c r="D47" s="440" t="s">
        <v>339</v>
      </c>
      <c r="E47" s="441"/>
      <c r="F47" s="442"/>
      <c r="G47" s="442"/>
      <c r="H47" s="443"/>
      <c r="I47" s="443"/>
      <c r="J47" s="443"/>
      <c r="K47" s="443"/>
    </row>
    <row r="48" spans="2:11" ht="15">
      <c r="B48" s="449" t="s">
        <v>434</v>
      </c>
      <c r="C48" s="440" t="s">
        <v>400</v>
      </c>
      <c r="D48" s="440" t="s">
        <v>339</v>
      </c>
      <c r="E48" s="441">
        <v>4</v>
      </c>
      <c r="F48" s="450">
        <v>0</v>
      </c>
      <c r="G48" s="442">
        <v>0</v>
      </c>
      <c r="H48" s="443">
        <f>SUM(F48+G48)</f>
        <v>0</v>
      </c>
      <c r="I48" s="443">
        <f>SUM(F48*E48)</f>
        <v>0</v>
      </c>
      <c r="J48" s="443">
        <f>SUM(G48*E48)</f>
        <v>0</v>
      </c>
      <c r="K48" s="443">
        <f>SUM(I48+J48)</f>
        <v>0</v>
      </c>
    </row>
    <row r="49" spans="2:11" ht="15">
      <c r="B49" s="449" t="s">
        <v>435</v>
      </c>
      <c r="C49" s="440" t="s">
        <v>400</v>
      </c>
      <c r="D49" s="440" t="s">
        <v>339</v>
      </c>
      <c r="E49" s="441">
        <v>4</v>
      </c>
      <c r="F49" s="450">
        <v>0</v>
      </c>
      <c r="G49" s="442">
        <v>0</v>
      </c>
      <c r="H49" s="443">
        <f>SUM(F49+G49)</f>
        <v>0</v>
      </c>
      <c r="I49" s="443">
        <f>SUM(F49*E49)</f>
        <v>0</v>
      </c>
      <c r="J49" s="443">
        <f>SUM(G49*E49)</f>
        <v>0</v>
      </c>
      <c r="K49" s="443">
        <f>SUM(I49+J49)</f>
        <v>0</v>
      </c>
    </row>
    <row r="50" spans="2:11" ht="15">
      <c r="B50" s="449" t="s">
        <v>436</v>
      </c>
      <c r="C50" s="440" t="s">
        <v>400</v>
      </c>
      <c r="D50" s="440" t="s">
        <v>339</v>
      </c>
      <c r="E50" s="441">
        <v>1</v>
      </c>
      <c r="F50" s="450">
        <v>0</v>
      </c>
      <c r="G50" s="442">
        <v>0</v>
      </c>
      <c r="H50" s="443">
        <f>SUM(F50+G50)</f>
        <v>0</v>
      </c>
      <c r="I50" s="443">
        <f>SUM(F50*E50)</f>
        <v>0</v>
      </c>
      <c r="J50" s="443">
        <f>SUM(G50*E50)</f>
        <v>0</v>
      </c>
      <c r="K50" s="443">
        <f>SUM(I50+J50)</f>
        <v>0</v>
      </c>
    </row>
    <row r="51" spans="2:11" ht="24">
      <c r="B51" s="445" t="s">
        <v>437</v>
      </c>
      <c r="C51" s="440" t="s">
        <v>400</v>
      </c>
      <c r="D51" s="440"/>
      <c r="E51" s="443"/>
      <c r="F51" s="451"/>
      <c r="G51" s="442"/>
      <c r="H51" s="443"/>
      <c r="I51" s="443"/>
      <c r="J51" s="443"/>
      <c r="K51" s="443"/>
    </row>
    <row r="52" spans="2:11" ht="15">
      <c r="B52" s="445" t="s">
        <v>438</v>
      </c>
      <c r="C52" s="440" t="s">
        <v>400</v>
      </c>
      <c r="D52" s="440" t="s">
        <v>127</v>
      </c>
      <c r="E52" s="457">
        <v>2</v>
      </c>
      <c r="F52" s="451">
        <v>0</v>
      </c>
      <c r="G52" s="442">
        <v>0</v>
      </c>
      <c r="H52" s="443">
        <f aca="true" t="shared" si="8" ref="H52:H59">SUM(F52+G52)</f>
        <v>0</v>
      </c>
      <c r="I52" s="443">
        <f aca="true" t="shared" si="9" ref="I52:I59">SUM(F52*E52)</f>
        <v>0</v>
      </c>
      <c r="J52" s="443">
        <f aca="true" t="shared" si="10" ref="J52:J59">SUM(G52*E52)</f>
        <v>0</v>
      </c>
      <c r="K52" s="443">
        <f aca="true" t="shared" si="11" ref="K52:K59">SUM(I52+J52)</f>
        <v>0</v>
      </c>
    </row>
    <row r="53" spans="2:11" ht="15">
      <c r="B53" s="445" t="s">
        <v>439</v>
      </c>
      <c r="C53" s="440" t="s">
        <v>400</v>
      </c>
      <c r="D53" s="440" t="s">
        <v>127</v>
      </c>
      <c r="E53" s="457">
        <v>2</v>
      </c>
      <c r="F53" s="451">
        <v>0</v>
      </c>
      <c r="G53" s="442">
        <v>0</v>
      </c>
      <c r="H53" s="443">
        <f t="shared" si="8"/>
        <v>0</v>
      </c>
      <c r="I53" s="443">
        <f t="shared" si="9"/>
        <v>0</v>
      </c>
      <c r="J53" s="443">
        <f t="shared" si="10"/>
        <v>0</v>
      </c>
      <c r="K53" s="443">
        <f t="shared" si="11"/>
        <v>0</v>
      </c>
    </row>
    <row r="54" spans="2:11" ht="24">
      <c r="B54" s="445" t="s">
        <v>440</v>
      </c>
      <c r="C54" s="440" t="s">
        <v>400</v>
      </c>
      <c r="D54" s="440" t="s">
        <v>339</v>
      </c>
      <c r="E54" s="441">
        <v>8</v>
      </c>
      <c r="F54" s="442">
        <v>0</v>
      </c>
      <c r="G54" s="442">
        <v>0</v>
      </c>
      <c r="H54" s="443">
        <f t="shared" si="8"/>
        <v>0</v>
      </c>
      <c r="I54" s="443">
        <f t="shared" si="9"/>
        <v>0</v>
      </c>
      <c r="J54" s="443">
        <f t="shared" si="10"/>
        <v>0</v>
      </c>
      <c r="K54" s="443">
        <f t="shared" si="11"/>
        <v>0</v>
      </c>
    </row>
    <row r="55" spans="2:11" ht="15">
      <c r="B55" s="445" t="s">
        <v>425</v>
      </c>
      <c r="C55" s="440" t="s">
        <v>400</v>
      </c>
      <c r="D55" s="440" t="s">
        <v>180</v>
      </c>
      <c r="E55" s="441">
        <v>1</v>
      </c>
      <c r="F55" s="450">
        <v>0</v>
      </c>
      <c r="G55" s="442">
        <v>0</v>
      </c>
      <c r="H55" s="443">
        <f t="shared" si="8"/>
        <v>0</v>
      </c>
      <c r="I55" s="443">
        <f t="shared" si="9"/>
        <v>0</v>
      </c>
      <c r="J55" s="443">
        <f t="shared" si="10"/>
        <v>0</v>
      </c>
      <c r="K55" s="443">
        <f t="shared" si="11"/>
        <v>0</v>
      </c>
    </row>
    <row r="56" spans="2:11" ht="15">
      <c r="B56" s="445" t="s">
        <v>441</v>
      </c>
      <c r="C56" s="440"/>
      <c r="D56" s="440" t="s">
        <v>339</v>
      </c>
      <c r="E56" s="441">
        <f>SUM(E48:E50)</f>
        <v>9</v>
      </c>
      <c r="F56" s="442">
        <v>0</v>
      </c>
      <c r="G56" s="442">
        <v>0</v>
      </c>
      <c r="H56" s="443">
        <f t="shared" si="8"/>
        <v>0</v>
      </c>
      <c r="I56" s="443">
        <f t="shared" si="9"/>
        <v>0</v>
      </c>
      <c r="J56" s="443">
        <f t="shared" si="10"/>
        <v>0</v>
      </c>
      <c r="K56" s="443">
        <f t="shared" si="11"/>
        <v>0</v>
      </c>
    </row>
    <row r="57" spans="2:11" ht="24">
      <c r="B57" s="445" t="s">
        <v>442</v>
      </c>
      <c r="C57" s="440" t="s">
        <v>400</v>
      </c>
      <c r="D57" s="440" t="s">
        <v>180</v>
      </c>
      <c r="E57" s="441">
        <v>1</v>
      </c>
      <c r="F57" s="451">
        <v>0</v>
      </c>
      <c r="G57" s="442">
        <v>0</v>
      </c>
      <c r="H57" s="443">
        <f t="shared" si="8"/>
        <v>0</v>
      </c>
      <c r="I57" s="443">
        <f t="shared" si="9"/>
        <v>0</v>
      </c>
      <c r="J57" s="443">
        <f t="shared" si="10"/>
        <v>0</v>
      </c>
      <c r="K57" s="443">
        <f t="shared" si="11"/>
        <v>0</v>
      </c>
    </row>
    <row r="58" spans="2:11" ht="24">
      <c r="B58" s="445" t="s">
        <v>427</v>
      </c>
      <c r="C58" s="440" t="s">
        <v>400</v>
      </c>
      <c r="D58" s="440" t="s">
        <v>428</v>
      </c>
      <c r="E58" s="441">
        <v>4</v>
      </c>
      <c r="F58" s="451">
        <v>0</v>
      </c>
      <c r="G58" s="442">
        <v>0</v>
      </c>
      <c r="H58" s="443">
        <f t="shared" si="8"/>
        <v>0</v>
      </c>
      <c r="I58" s="443">
        <f t="shared" si="9"/>
        <v>0</v>
      </c>
      <c r="J58" s="443">
        <f t="shared" si="10"/>
        <v>0</v>
      </c>
      <c r="K58" s="443">
        <f t="shared" si="11"/>
        <v>0</v>
      </c>
    </row>
    <row r="59" spans="2:11" ht="15">
      <c r="B59" s="445" t="s">
        <v>430</v>
      </c>
      <c r="C59" s="440" t="s">
        <v>400</v>
      </c>
      <c r="D59" s="440" t="s">
        <v>180</v>
      </c>
      <c r="E59" s="441">
        <v>1</v>
      </c>
      <c r="F59" s="442">
        <v>0</v>
      </c>
      <c r="G59" s="442">
        <v>0</v>
      </c>
      <c r="H59" s="443">
        <f t="shared" si="8"/>
        <v>0</v>
      </c>
      <c r="I59" s="443">
        <f t="shared" si="9"/>
        <v>0</v>
      </c>
      <c r="J59" s="443">
        <f t="shared" si="10"/>
        <v>0</v>
      </c>
      <c r="K59" s="443">
        <f t="shared" si="11"/>
        <v>0</v>
      </c>
    </row>
    <row r="60" spans="2:11" ht="15">
      <c r="B60" s="439" t="s">
        <v>390</v>
      </c>
      <c r="C60" s="440"/>
      <c r="D60" s="440"/>
      <c r="E60" s="441"/>
      <c r="F60" s="442"/>
      <c r="G60" s="442"/>
      <c r="H60" s="443"/>
      <c r="I60" s="443"/>
      <c r="J60" s="443"/>
      <c r="K60" s="444">
        <f>SUM(K48:K59)</f>
        <v>0</v>
      </c>
    </row>
    <row r="61" spans="2:11" ht="15">
      <c r="B61" s="439" t="s">
        <v>417</v>
      </c>
      <c r="C61" s="440"/>
      <c r="D61" s="440" t="s">
        <v>418</v>
      </c>
      <c r="E61" s="441">
        <v>1</v>
      </c>
      <c r="F61" s="442"/>
      <c r="G61" s="442"/>
      <c r="H61" s="443"/>
      <c r="I61" s="443"/>
      <c r="J61" s="443"/>
      <c r="K61" s="444">
        <f>SUM(K60)*0.03</f>
        <v>0</v>
      </c>
    </row>
    <row r="62" spans="2:11" ht="15">
      <c r="B62" s="456" t="s">
        <v>443</v>
      </c>
      <c r="C62" s="440"/>
      <c r="D62" s="440"/>
      <c r="E62" s="441"/>
      <c r="F62" s="442"/>
      <c r="G62" s="442"/>
      <c r="H62" s="443"/>
      <c r="I62" s="443"/>
      <c r="J62" s="443"/>
      <c r="K62" s="444">
        <f>SUM(K60:K61)</f>
        <v>0</v>
      </c>
    </row>
    <row r="63" spans="2:11" ht="15">
      <c r="B63" s="439"/>
      <c r="C63" s="440"/>
      <c r="D63" s="440"/>
      <c r="E63" s="441"/>
      <c r="F63" s="442"/>
      <c r="G63" s="442"/>
      <c r="H63" s="443"/>
      <c r="I63" s="443"/>
      <c r="J63" s="443"/>
      <c r="K63" s="443"/>
    </row>
    <row r="64" spans="2:11" ht="15">
      <c r="B64" s="439" t="s">
        <v>444</v>
      </c>
      <c r="C64" s="440"/>
      <c r="D64" s="440"/>
      <c r="E64" s="441"/>
      <c r="F64" s="442"/>
      <c r="G64" s="442"/>
      <c r="H64" s="443"/>
      <c r="I64" s="443"/>
      <c r="J64" s="443"/>
      <c r="K64" s="444">
        <f>SUM(K71)</f>
        <v>0</v>
      </c>
    </row>
    <row r="65" spans="2:11" ht="24">
      <c r="B65" s="445" t="s">
        <v>445</v>
      </c>
      <c r="C65" s="440"/>
      <c r="D65" s="440"/>
      <c r="E65" s="441"/>
      <c r="F65" s="442"/>
      <c r="G65" s="442"/>
      <c r="H65" s="443"/>
      <c r="I65" s="443"/>
      <c r="J65" s="443"/>
      <c r="K65" s="443"/>
    </row>
    <row r="66" spans="2:11" ht="15">
      <c r="B66" s="445" t="s">
        <v>446</v>
      </c>
      <c r="C66" s="440"/>
      <c r="D66" s="440"/>
      <c r="E66" s="441"/>
      <c r="F66" s="442"/>
      <c r="G66" s="442"/>
      <c r="H66" s="443"/>
      <c r="I66" s="443"/>
      <c r="J66" s="443"/>
      <c r="K66" s="443"/>
    </row>
    <row r="67" spans="2:11" ht="15">
      <c r="B67" s="445" t="s">
        <v>447</v>
      </c>
      <c r="C67" s="440" t="s">
        <v>400</v>
      </c>
      <c r="D67" s="440" t="s">
        <v>339</v>
      </c>
      <c r="E67" s="441">
        <f>SUM(E48)</f>
        <v>4</v>
      </c>
      <c r="F67" s="442">
        <v>0</v>
      </c>
      <c r="G67" s="442">
        <v>0</v>
      </c>
      <c r="H67" s="443">
        <f>SUM(F67+G67)</f>
        <v>0</v>
      </c>
      <c r="I67" s="443">
        <f>SUM(F67*E67)</f>
        <v>0</v>
      </c>
      <c r="J67" s="443">
        <f>SUM(G67*E67)</f>
        <v>0</v>
      </c>
      <c r="K67" s="443">
        <f>SUM(I67+J67)</f>
        <v>0</v>
      </c>
    </row>
    <row r="68" spans="2:11" ht="15">
      <c r="B68" s="445" t="s">
        <v>448</v>
      </c>
      <c r="C68" s="440" t="s">
        <v>400</v>
      </c>
      <c r="D68" s="440" t="s">
        <v>339</v>
      </c>
      <c r="E68" s="441">
        <f>SUM(E49,E50)</f>
        <v>5</v>
      </c>
      <c r="F68" s="442">
        <v>0</v>
      </c>
      <c r="G68" s="442">
        <v>0</v>
      </c>
      <c r="H68" s="443">
        <f>SUM(F68+G68)</f>
        <v>0</v>
      </c>
      <c r="I68" s="443">
        <f>SUM(F68*E68)</f>
        <v>0</v>
      </c>
      <c r="J68" s="443">
        <f>SUM(G68*E68)</f>
        <v>0</v>
      </c>
      <c r="K68" s="443">
        <f>SUM(I68+J68)</f>
        <v>0</v>
      </c>
    </row>
    <row r="69" spans="2:11" ht="15">
      <c r="B69" s="439" t="s">
        <v>390</v>
      </c>
      <c r="C69" s="440"/>
      <c r="D69" s="440"/>
      <c r="E69" s="441"/>
      <c r="F69" s="442"/>
      <c r="G69" s="442"/>
      <c r="H69" s="443"/>
      <c r="I69" s="443"/>
      <c r="J69" s="443"/>
      <c r="K69" s="444">
        <f>SUM(K67:K68)</f>
        <v>0</v>
      </c>
    </row>
    <row r="70" spans="2:11" ht="15">
      <c r="B70" s="439" t="s">
        <v>417</v>
      </c>
      <c r="C70" s="440"/>
      <c r="D70" s="440" t="s">
        <v>418</v>
      </c>
      <c r="E70" s="441">
        <v>1</v>
      </c>
      <c r="F70" s="442"/>
      <c r="G70" s="442"/>
      <c r="H70" s="443"/>
      <c r="I70" s="443"/>
      <c r="J70" s="443"/>
      <c r="K70" s="444">
        <f>SUM(K69)*0.035</f>
        <v>0</v>
      </c>
    </row>
    <row r="71" spans="2:11" ht="15">
      <c r="B71" s="456" t="s">
        <v>449</v>
      </c>
      <c r="C71" s="440"/>
      <c r="D71" s="440"/>
      <c r="E71" s="441"/>
      <c r="F71" s="442"/>
      <c r="G71" s="442"/>
      <c r="H71" s="443"/>
      <c r="I71" s="443"/>
      <c r="J71" s="443"/>
      <c r="K71" s="444">
        <f>SUM(K69:K70)</f>
        <v>0</v>
      </c>
    </row>
    <row r="72" spans="2:11" ht="15">
      <c r="B72" s="458"/>
      <c r="C72" s="459"/>
      <c r="D72" s="459"/>
      <c r="E72" s="460"/>
      <c r="F72" s="461"/>
      <c r="G72" s="461"/>
      <c r="H72" s="462"/>
      <c r="I72" s="462"/>
      <c r="J72" s="462"/>
      <c r="K72" s="463"/>
    </row>
    <row r="73" spans="2:11" ht="15">
      <c r="B73" s="439" t="s">
        <v>389</v>
      </c>
      <c r="C73" s="440"/>
      <c r="D73" s="440"/>
      <c r="E73" s="441"/>
      <c r="F73" s="442"/>
      <c r="G73" s="442"/>
      <c r="H73" s="443"/>
      <c r="I73" s="443"/>
      <c r="J73" s="443"/>
      <c r="K73" s="444">
        <f>SUM(K79)</f>
        <v>0</v>
      </c>
    </row>
    <row r="74" spans="2:11" ht="15">
      <c r="B74" s="449" t="s">
        <v>450</v>
      </c>
      <c r="C74" s="440" t="s">
        <v>400</v>
      </c>
      <c r="D74" s="440" t="s">
        <v>127</v>
      </c>
      <c r="E74" s="441">
        <v>2</v>
      </c>
      <c r="F74" s="442">
        <v>0</v>
      </c>
      <c r="G74" s="442">
        <v>0</v>
      </c>
      <c r="H74" s="443">
        <f>SUM(F74+G74)</f>
        <v>0</v>
      </c>
      <c r="I74" s="443">
        <f>SUM(F74*E74)</f>
        <v>0</v>
      </c>
      <c r="J74" s="443">
        <f>SUM(G74*E74)</f>
        <v>0</v>
      </c>
      <c r="K74" s="443">
        <f>SUM(I74+J74)</f>
        <v>0</v>
      </c>
    </row>
    <row r="75" spans="2:11" ht="15">
      <c r="B75" s="445" t="s">
        <v>451</v>
      </c>
      <c r="C75" s="440" t="s">
        <v>400</v>
      </c>
      <c r="D75" s="440" t="s">
        <v>418</v>
      </c>
      <c r="E75" s="441">
        <v>1</v>
      </c>
      <c r="F75" s="442">
        <v>0</v>
      </c>
      <c r="G75" s="442">
        <v>0</v>
      </c>
      <c r="H75" s="443">
        <f>SUM(F75+G75)</f>
        <v>0</v>
      </c>
      <c r="I75" s="443">
        <f>SUM(F75*E75)</f>
        <v>0</v>
      </c>
      <c r="J75" s="443">
        <f>SUM(G75*E75)</f>
        <v>0</v>
      </c>
      <c r="K75" s="443">
        <f>SUM(I75+J75)</f>
        <v>0</v>
      </c>
    </row>
    <row r="76" spans="2:11" ht="15">
      <c r="B76" s="445" t="s">
        <v>452</v>
      </c>
      <c r="C76" s="440" t="s">
        <v>400</v>
      </c>
      <c r="D76" s="440" t="s">
        <v>127</v>
      </c>
      <c r="E76" s="457">
        <v>1</v>
      </c>
      <c r="F76" s="442">
        <v>0</v>
      </c>
      <c r="G76" s="442">
        <v>0</v>
      </c>
      <c r="H76" s="443">
        <f>SUM(F76+G76)</f>
        <v>0</v>
      </c>
      <c r="I76" s="443">
        <f>SUM(F76*E76)</f>
        <v>0</v>
      </c>
      <c r="J76" s="443">
        <f>SUM(G76*E76)</f>
        <v>0</v>
      </c>
      <c r="K76" s="443">
        <f>SUM(I76+J76)</f>
        <v>0</v>
      </c>
    </row>
    <row r="77" spans="2:11" ht="15">
      <c r="B77" s="439" t="s">
        <v>390</v>
      </c>
      <c r="C77" s="440"/>
      <c r="D77" s="440"/>
      <c r="E77" s="441"/>
      <c r="F77" s="442"/>
      <c r="G77" s="442"/>
      <c r="H77" s="443"/>
      <c r="I77" s="443"/>
      <c r="J77" s="443"/>
      <c r="K77" s="444">
        <f>SUM(K74:K76)</f>
        <v>0</v>
      </c>
    </row>
    <row r="78" spans="2:11" ht="15">
      <c r="B78" s="464" t="s">
        <v>417</v>
      </c>
      <c r="C78" s="465"/>
      <c r="D78" s="465" t="s">
        <v>418</v>
      </c>
      <c r="E78" s="466">
        <v>1</v>
      </c>
      <c r="F78" s="467"/>
      <c r="G78" s="467"/>
      <c r="H78" s="468"/>
      <c r="I78" s="468"/>
      <c r="J78" s="468"/>
      <c r="K78" s="469">
        <f>SUM(K77)*0.03</f>
        <v>0</v>
      </c>
    </row>
    <row r="79" spans="2:11" ht="15">
      <c r="B79" s="456" t="s">
        <v>453</v>
      </c>
      <c r="C79" s="440"/>
      <c r="D79" s="440"/>
      <c r="E79" s="441"/>
      <c r="F79" s="442"/>
      <c r="G79" s="442"/>
      <c r="H79" s="443"/>
      <c r="I79" s="443"/>
      <c r="J79" s="443"/>
      <c r="K79" s="444">
        <f>SUM(K77:K78)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 topLeftCell="A1">
      <selection activeCell="N15" sqref="N15"/>
    </sheetView>
  </sheetViews>
  <sheetFormatPr defaultColWidth="9.140625" defaultRowHeight="15"/>
  <cols>
    <col min="1" max="1" width="4.8515625" style="0" customWidth="1"/>
    <col min="2" max="2" width="16.8515625" style="0" customWidth="1"/>
    <col min="3" max="3" width="54.140625" style="0" customWidth="1"/>
    <col min="4" max="4" width="8.00390625" style="0" customWidth="1"/>
    <col min="5" max="5" width="11.140625" style="0" customWidth="1"/>
    <col min="6" max="6" width="15.00390625" style="0" customWidth="1"/>
    <col min="7" max="7" width="16.7109375" style="0" customWidth="1"/>
    <col min="8" max="8" width="9.8515625" style="0" customWidth="1"/>
  </cols>
  <sheetData>
    <row r="1" spans="1:8" ht="37.5" customHeight="1">
      <c r="A1" s="474"/>
      <c r="B1" s="263"/>
      <c r="C1" s="264" t="s">
        <v>31</v>
      </c>
      <c r="D1" s="265"/>
      <c r="E1" s="481"/>
      <c r="F1" s="266"/>
      <c r="G1" s="48"/>
      <c r="H1" s="49"/>
    </row>
    <row r="2" spans="1:8" ht="15.75">
      <c r="A2" s="474"/>
      <c r="B2" s="263"/>
      <c r="C2" s="265" t="s">
        <v>32</v>
      </c>
      <c r="D2" s="265"/>
      <c r="E2" s="481"/>
      <c r="F2" s="266"/>
      <c r="G2" s="48"/>
      <c r="H2" s="49"/>
    </row>
    <row r="3" spans="1:8" ht="47.25">
      <c r="A3" s="474"/>
      <c r="B3" s="263"/>
      <c r="C3" s="267" t="s">
        <v>462</v>
      </c>
      <c r="D3" s="265"/>
      <c r="E3" s="481"/>
      <c r="F3" s="266"/>
      <c r="G3" s="48"/>
      <c r="H3" s="49"/>
    </row>
    <row r="4" spans="1:8" ht="15.75">
      <c r="A4" s="474"/>
      <c r="B4" s="263"/>
      <c r="C4" s="267"/>
      <c r="D4" s="265"/>
      <c r="E4" s="481"/>
      <c r="F4" s="266"/>
      <c r="G4" s="48"/>
      <c r="H4" s="49"/>
    </row>
    <row r="5" spans="1:8" ht="28.5" customHeight="1">
      <c r="A5" s="474"/>
      <c r="B5" s="263"/>
      <c r="C5" s="267" t="s">
        <v>52</v>
      </c>
      <c r="D5" s="265"/>
      <c r="E5" s="481"/>
      <c r="F5" s="266"/>
      <c r="G5" s="48"/>
      <c r="H5" s="49"/>
    </row>
    <row r="6" spans="1:8" ht="15.75">
      <c r="A6" s="476"/>
      <c r="B6" s="268"/>
      <c r="C6" s="269"/>
      <c r="D6" s="270"/>
      <c r="E6" s="482"/>
      <c r="F6" s="271"/>
      <c r="G6" s="58"/>
      <c r="H6" s="59"/>
    </row>
    <row r="7" spans="1:8" ht="15.75">
      <c r="A7" s="474"/>
      <c r="B7" s="263"/>
      <c r="C7" s="265" t="s">
        <v>33</v>
      </c>
      <c r="D7" s="265"/>
      <c r="E7" s="481"/>
      <c r="F7" s="266"/>
      <c r="G7" s="48"/>
      <c r="H7" s="49"/>
    </row>
    <row r="8" spans="1:8" ht="31.5">
      <c r="A8" s="474"/>
      <c r="B8" s="263"/>
      <c r="C8" s="272" t="s">
        <v>291</v>
      </c>
      <c r="D8" s="265"/>
      <c r="E8" s="481"/>
      <c r="F8" s="266"/>
      <c r="G8" s="48"/>
      <c r="H8" s="49"/>
    </row>
    <row r="9" spans="1:8" ht="15">
      <c r="A9" s="474"/>
      <c r="B9" s="45"/>
      <c r="C9" s="61"/>
      <c r="D9" s="50"/>
      <c r="E9" s="475"/>
      <c r="F9" s="47"/>
      <c r="G9" s="48"/>
      <c r="H9" s="49"/>
    </row>
    <row r="10" spans="1:8" ht="15">
      <c r="A10" s="474"/>
      <c r="B10" s="45"/>
      <c r="C10" s="61"/>
      <c r="D10" s="50"/>
      <c r="E10" s="475"/>
      <c r="F10" s="47"/>
      <c r="G10" s="48"/>
      <c r="H10" s="49"/>
    </row>
    <row r="11" spans="1:8" ht="15">
      <c r="A11" s="474"/>
      <c r="B11" s="45"/>
      <c r="C11" s="61"/>
      <c r="D11" s="50"/>
      <c r="E11" s="475"/>
      <c r="F11" s="47"/>
      <c r="G11" s="48"/>
      <c r="H11" s="49"/>
    </row>
    <row r="12" spans="1:8" ht="15">
      <c r="A12" s="476"/>
      <c r="B12" s="53"/>
      <c r="C12" s="62"/>
      <c r="D12" s="277"/>
      <c r="E12" s="477"/>
      <c r="F12" s="57"/>
      <c r="G12" s="58"/>
      <c r="H12" s="59"/>
    </row>
    <row r="13" spans="1:8" ht="36" customHeight="1">
      <c r="A13" s="567"/>
      <c r="B13" s="224"/>
      <c r="C13" s="235" t="s">
        <v>65</v>
      </c>
      <c r="D13" s="226"/>
      <c r="E13" s="528"/>
      <c r="F13" s="228"/>
      <c r="G13" s="236"/>
      <c r="H13" s="230"/>
    </row>
    <row r="14" spans="1:8" ht="15">
      <c r="A14" s="527" t="s">
        <v>66</v>
      </c>
      <c r="B14" s="224"/>
      <c r="C14" s="237" t="s">
        <v>49</v>
      </c>
      <c r="D14" s="226"/>
      <c r="E14" s="528"/>
      <c r="F14" s="228"/>
      <c r="G14" s="236"/>
      <c r="H14" s="230"/>
    </row>
    <row r="15" spans="1:8" ht="15">
      <c r="A15" s="527" t="s">
        <v>67</v>
      </c>
      <c r="B15" s="224"/>
      <c r="C15" s="568" t="s">
        <v>68</v>
      </c>
      <c r="D15" s="226" t="s">
        <v>51</v>
      </c>
      <c r="E15" s="528"/>
      <c r="F15" s="228"/>
      <c r="G15" s="236">
        <f>G49</f>
        <v>0</v>
      </c>
      <c r="H15" s="230"/>
    </row>
    <row r="16" spans="1:8" ht="15">
      <c r="A16" s="527" t="s">
        <v>69</v>
      </c>
      <c r="B16" s="224"/>
      <c r="C16" s="568" t="s">
        <v>70</v>
      </c>
      <c r="D16" s="226" t="s">
        <v>51</v>
      </c>
      <c r="E16" s="528"/>
      <c r="F16" s="228"/>
      <c r="G16" s="236">
        <f>G56</f>
        <v>0</v>
      </c>
      <c r="H16" s="230"/>
    </row>
    <row r="17" spans="1:8" ht="15">
      <c r="A17" s="527" t="s">
        <v>71</v>
      </c>
      <c r="B17" s="224"/>
      <c r="C17" s="568" t="s">
        <v>72</v>
      </c>
      <c r="D17" s="226" t="s">
        <v>51</v>
      </c>
      <c r="E17" s="528"/>
      <c r="F17" s="228"/>
      <c r="G17" s="236">
        <f>G69</f>
        <v>0</v>
      </c>
      <c r="H17" s="230"/>
    </row>
    <row r="18" spans="1:8" ht="15">
      <c r="A18" s="527" t="s">
        <v>73</v>
      </c>
      <c r="B18" s="224"/>
      <c r="C18" s="568" t="s">
        <v>74</v>
      </c>
      <c r="D18" s="226" t="s">
        <v>51</v>
      </c>
      <c r="E18" s="528"/>
      <c r="F18" s="228"/>
      <c r="G18" s="236">
        <f>G77</f>
        <v>0</v>
      </c>
      <c r="H18" s="230"/>
    </row>
    <row r="19" spans="1:8" ht="15">
      <c r="A19" s="527" t="s">
        <v>75</v>
      </c>
      <c r="B19" s="224"/>
      <c r="C19" s="239" t="s">
        <v>454</v>
      </c>
      <c r="D19" s="226" t="s">
        <v>51</v>
      </c>
      <c r="E19" s="528"/>
      <c r="F19" s="228"/>
      <c r="G19" s="240">
        <f>G90</f>
        <v>0</v>
      </c>
      <c r="H19" s="241"/>
    </row>
    <row r="20" spans="1:8" ht="15">
      <c r="A20" s="527" t="s">
        <v>77</v>
      </c>
      <c r="B20" s="224"/>
      <c r="C20" s="239" t="s">
        <v>78</v>
      </c>
      <c r="D20" s="226" t="s">
        <v>51</v>
      </c>
      <c r="E20" s="528"/>
      <c r="F20" s="228"/>
      <c r="G20" s="240">
        <f>G94</f>
        <v>0</v>
      </c>
      <c r="H20" s="241"/>
    </row>
    <row r="21" spans="1:8" ht="15">
      <c r="A21" s="527" t="s">
        <v>79</v>
      </c>
      <c r="B21" s="224"/>
      <c r="C21" s="239" t="s">
        <v>80</v>
      </c>
      <c r="D21" s="226" t="s">
        <v>51</v>
      </c>
      <c r="E21" s="528"/>
      <c r="F21" s="228"/>
      <c r="G21" s="240">
        <f>G103</f>
        <v>0</v>
      </c>
      <c r="H21" s="241"/>
    </row>
    <row r="22" spans="1:8" ht="15">
      <c r="A22" s="527" t="s">
        <v>81</v>
      </c>
      <c r="B22" s="569"/>
      <c r="C22" s="242" t="s">
        <v>82</v>
      </c>
      <c r="D22" s="243" t="s">
        <v>51</v>
      </c>
      <c r="E22" s="244"/>
      <c r="F22" s="245"/>
      <c r="G22" s="240">
        <f>'[1]VV EL silnoproud NB 153'!C27</f>
        <v>0</v>
      </c>
      <c r="H22" s="241"/>
    </row>
    <row r="23" spans="1:8" ht="15">
      <c r="A23" s="527" t="s">
        <v>83</v>
      </c>
      <c r="B23" s="224"/>
      <c r="C23" s="239" t="s">
        <v>84</v>
      </c>
      <c r="D23" s="226" t="s">
        <v>51</v>
      </c>
      <c r="E23" s="227"/>
      <c r="F23" s="228"/>
      <c r="G23" s="240">
        <f>'[1]VV EL slaboproud NB 153'!G5</f>
        <v>0</v>
      </c>
      <c r="H23" s="241"/>
    </row>
    <row r="24" spans="1:8" ht="15">
      <c r="A24" s="527" t="s">
        <v>85</v>
      </c>
      <c r="B24" s="224"/>
      <c r="C24" s="239" t="s">
        <v>86</v>
      </c>
      <c r="D24" s="226" t="s">
        <v>51</v>
      </c>
      <c r="E24" s="227"/>
      <c r="F24" s="228"/>
      <c r="G24" s="240">
        <f>'[1]VV ZTI NB 153'!K9</f>
        <v>0</v>
      </c>
      <c r="H24" s="241"/>
    </row>
    <row r="25" spans="1:8" ht="15">
      <c r="A25" s="527" t="s">
        <v>87</v>
      </c>
      <c r="B25" s="224"/>
      <c r="C25" s="239"/>
      <c r="D25" s="226"/>
      <c r="E25" s="227"/>
      <c r="F25" s="228"/>
      <c r="G25" s="240"/>
      <c r="H25" s="241"/>
    </row>
    <row r="26" spans="1:8" ht="15">
      <c r="A26" s="527" t="s">
        <v>88</v>
      </c>
      <c r="B26" s="224"/>
      <c r="C26" s="246"/>
      <c r="D26" s="226"/>
      <c r="E26" s="528"/>
      <c r="F26" s="228"/>
      <c r="G26" s="570"/>
      <c r="H26" s="230"/>
    </row>
    <row r="27" spans="1:8" ht="15">
      <c r="A27" s="527" t="s">
        <v>89</v>
      </c>
      <c r="B27" s="224"/>
      <c r="C27" s="233" t="s">
        <v>58</v>
      </c>
      <c r="D27" s="226" t="s">
        <v>51</v>
      </c>
      <c r="E27" s="528"/>
      <c r="F27" s="228"/>
      <c r="G27" s="229">
        <f>SUM(G15:G26)</f>
        <v>0</v>
      </c>
      <c r="H27" s="230"/>
    </row>
    <row r="28" spans="1:8" ht="15">
      <c r="A28" s="527" t="s">
        <v>90</v>
      </c>
      <c r="B28" s="224"/>
      <c r="C28" s="237" t="s">
        <v>59</v>
      </c>
      <c r="D28" s="226"/>
      <c r="E28" s="528"/>
      <c r="F28" s="228"/>
      <c r="G28" s="247"/>
      <c r="H28" s="230"/>
    </row>
    <row r="29" spans="1:8" ht="15">
      <c r="A29" s="527" t="s">
        <v>91</v>
      </c>
      <c r="B29" s="224"/>
      <c r="C29" s="246" t="s">
        <v>60</v>
      </c>
      <c r="D29" s="226" t="s">
        <v>51</v>
      </c>
      <c r="E29" s="528"/>
      <c r="F29" s="228"/>
      <c r="G29" s="236">
        <f>G27*0.025</f>
        <v>0</v>
      </c>
      <c r="H29" s="230"/>
    </row>
    <row r="30" spans="1:8" ht="15">
      <c r="A30" s="527" t="s">
        <v>92</v>
      </c>
      <c r="B30" s="224"/>
      <c r="C30" s="246"/>
      <c r="D30" s="226"/>
      <c r="E30" s="528"/>
      <c r="F30" s="228"/>
      <c r="G30" s="236"/>
      <c r="H30" s="230"/>
    </row>
    <row r="31" spans="1:8" ht="15">
      <c r="A31" s="527" t="s">
        <v>93</v>
      </c>
      <c r="B31" s="224"/>
      <c r="C31" s="246"/>
      <c r="D31" s="226"/>
      <c r="E31" s="528"/>
      <c r="F31" s="228"/>
      <c r="G31" s="236"/>
      <c r="H31" s="230"/>
    </row>
    <row r="32" spans="1:8" ht="15">
      <c r="A32" s="527" t="s">
        <v>94</v>
      </c>
      <c r="B32" s="224"/>
      <c r="C32" s="248" t="s">
        <v>61</v>
      </c>
      <c r="D32" s="226" t="s">
        <v>51</v>
      </c>
      <c r="E32" s="528"/>
      <c r="F32" s="228"/>
      <c r="G32" s="229">
        <f>SUM(G27:G31)</f>
        <v>0</v>
      </c>
      <c r="H32" s="230"/>
    </row>
    <row r="33" spans="1:8" ht="15">
      <c r="A33" s="527" t="s">
        <v>95</v>
      </c>
      <c r="B33" s="224"/>
      <c r="C33" s="246"/>
      <c r="D33" s="226"/>
      <c r="E33" s="528"/>
      <c r="F33" s="228"/>
      <c r="G33" s="236"/>
      <c r="H33" s="230"/>
    </row>
    <row r="34" spans="1:8" ht="15">
      <c r="A34" s="527" t="s">
        <v>96</v>
      </c>
      <c r="B34" s="224"/>
      <c r="C34" s="246"/>
      <c r="D34" s="226"/>
      <c r="E34" s="528"/>
      <c r="F34" s="228"/>
      <c r="G34" s="236"/>
      <c r="H34" s="230"/>
    </row>
    <row r="35" spans="1:8" ht="15">
      <c r="A35" s="527" t="s">
        <v>97</v>
      </c>
      <c r="B35" s="224"/>
      <c r="C35" s="248" t="s">
        <v>62</v>
      </c>
      <c r="D35" s="226" t="s">
        <v>51</v>
      </c>
      <c r="E35" s="528"/>
      <c r="F35" s="228"/>
      <c r="G35" s="236">
        <f>G32*0.21</f>
        <v>0</v>
      </c>
      <c r="H35" s="230"/>
    </row>
    <row r="36" spans="1:8" ht="15">
      <c r="A36" s="527" t="s">
        <v>98</v>
      </c>
      <c r="B36" s="224"/>
      <c r="C36" s="248"/>
      <c r="D36" s="226"/>
      <c r="E36" s="528"/>
      <c r="F36" s="228"/>
      <c r="G36" s="236"/>
      <c r="H36" s="230"/>
    </row>
    <row r="37" spans="1:8" ht="15">
      <c r="A37" s="527" t="s">
        <v>99</v>
      </c>
      <c r="B37" s="224"/>
      <c r="C37" s="233" t="s">
        <v>63</v>
      </c>
      <c r="D37" s="226" t="s">
        <v>51</v>
      </c>
      <c r="E37" s="528"/>
      <c r="F37" s="228"/>
      <c r="G37" s="229">
        <f>SUM(G32:G36)</f>
        <v>0</v>
      </c>
      <c r="H37" s="230"/>
    </row>
    <row r="38" spans="1:8" ht="15">
      <c r="A38" s="527" t="s">
        <v>100</v>
      </c>
      <c r="B38" s="224"/>
      <c r="C38" s="233"/>
      <c r="D38" s="226"/>
      <c r="E38" s="528"/>
      <c r="F38" s="228"/>
      <c r="G38" s="229"/>
      <c r="H38" s="230"/>
    </row>
    <row r="39" spans="1:8" ht="15">
      <c r="A39" s="527" t="s">
        <v>101</v>
      </c>
      <c r="B39" s="224"/>
      <c r="C39" s="233"/>
      <c r="D39" s="226"/>
      <c r="E39" s="528"/>
      <c r="F39" s="228"/>
      <c r="G39" s="229"/>
      <c r="H39" s="230"/>
    </row>
    <row r="40" spans="1:8" ht="15">
      <c r="A40" s="527" t="s">
        <v>102</v>
      </c>
      <c r="B40" s="224"/>
      <c r="C40" s="233"/>
      <c r="D40" s="226"/>
      <c r="E40" s="528"/>
      <c r="F40" s="228"/>
      <c r="G40" s="229"/>
      <c r="H40" s="230"/>
    </row>
    <row r="41" spans="1:8" ht="15">
      <c r="A41" s="527" t="s">
        <v>103</v>
      </c>
      <c r="B41" s="224"/>
      <c r="C41" s="233"/>
      <c r="D41" s="226"/>
      <c r="E41" s="528"/>
      <c r="F41" s="228"/>
      <c r="G41" s="229"/>
      <c r="H41" s="230"/>
    </row>
    <row r="42" spans="1:8" ht="45">
      <c r="A42" s="571" t="s">
        <v>104</v>
      </c>
      <c r="B42" s="572" t="s">
        <v>105</v>
      </c>
      <c r="C42" s="572" t="s">
        <v>106</v>
      </c>
      <c r="D42" s="572" t="s">
        <v>107</v>
      </c>
      <c r="E42" s="573" t="s">
        <v>108</v>
      </c>
      <c r="F42" s="574" t="s">
        <v>109</v>
      </c>
      <c r="G42" s="575" t="s">
        <v>110</v>
      </c>
      <c r="H42" s="576" t="s">
        <v>553</v>
      </c>
    </row>
    <row r="43" spans="1:8" ht="84.75" customHeight="1">
      <c r="A43" s="527" t="s">
        <v>112</v>
      </c>
      <c r="B43" s="224"/>
      <c r="C43" s="249" t="s">
        <v>113</v>
      </c>
      <c r="D43" s="226"/>
      <c r="E43" s="528"/>
      <c r="F43" s="228"/>
      <c r="G43" s="236"/>
      <c r="H43" s="230"/>
    </row>
    <row r="44" spans="1:8" ht="32.25" customHeight="1">
      <c r="A44" s="527" t="s">
        <v>114</v>
      </c>
      <c r="B44" s="224"/>
      <c r="C44" s="250" t="s">
        <v>115</v>
      </c>
      <c r="D44" s="226"/>
      <c r="E44" s="528"/>
      <c r="F44" s="228"/>
      <c r="G44" s="236"/>
      <c r="H44" s="230"/>
    </row>
    <row r="45" spans="1:8" ht="45.75" customHeight="1">
      <c r="A45" s="527" t="s">
        <v>116</v>
      </c>
      <c r="B45" s="224"/>
      <c r="C45" s="251" t="s">
        <v>117</v>
      </c>
      <c r="D45" s="226"/>
      <c r="E45" s="528"/>
      <c r="F45" s="228"/>
      <c r="G45" s="236"/>
      <c r="H45" s="230"/>
    </row>
    <row r="46" spans="1:8" ht="15">
      <c r="A46" s="527" t="s">
        <v>118</v>
      </c>
      <c r="B46" s="224"/>
      <c r="C46" s="251"/>
      <c r="D46" s="226"/>
      <c r="E46" s="528"/>
      <c r="F46" s="228"/>
      <c r="G46" s="236"/>
      <c r="H46" s="230"/>
    </row>
    <row r="47" spans="1:8" ht="35.25" customHeight="1">
      <c r="A47" s="527" t="s">
        <v>119</v>
      </c>
      <c r="B47" s="224"/>
      <c r="C47" s="252" t="s">
        <v>532</v>
      </c>
      <c r="D47" s="226"/>
      <c r="E47" s="528"/>
      <c r="F47" s="228"/>
      <c r="G47" s="236"/>
      <c r="H47" s="230"/>
    </row>
    <row r="48" spans="1:8" ht="15">
      <c r="A48" s="527" t="s">
        <v>121</v>
      </c>
      <c r="B48" s="224"/>
      <c r="C48" s="252"/>
      <c r="D48" s="226"/>
      <c r="E48" s="528"/>
      <c r="F48" s="228"/>
      <c r="G48" s="236"/>
      <c r="H48" s="230"/>
    </row>
    <row r="49" spans="1:8" ht="15">
      <c r="A49" s="527" t="s">
        <v>122</v>
      </c>
      <c r="B49" s="254"/>
      <c r="C49" s="529" t="s">
        <v>123</v>
      </c>
      <c r="D49" s="530" t="s">
        <v>51</v>
      </c>
      <c r="E49" s="531" t="s">
        <v>124</v>
      </c>
      <c r="F49" s="532"/>
      <c r="G49" s="533">
        <f>SUM(G50:G54)</f>
        <v>0</v>
      </c>
      <c r="H49" s="534"/>
    </row>
    <row r="50" spans="1:8" ht="45" customHeight="1">
      <c r="A50" s="527" t="s">
        <v>125</v>
      </c>
      <c r="B50" s="254"/>
      <c r="C50" s="242" t="s">
        <v>269</v>
      </c>
      <c r="D50" s="253" t="s">
        <v>127</v>
      </c>
      <c r="E50" s="535">
        <v>2</v>
      </c>
      <c r="F50" s="532">
        <v>0</v>
      </c>
      <c r="G50" s="536">
        <f>E50*F50</f>
        <v>0</v>
      </c>
      <c r="H50" s="244"/>
    </row>
    <row r="51" spans="1:8" ht="72.75" customHeight="1">
      <c r="A51" s="527" t="s">
        <v>128</v>
      </c>
      <c r="B51" s="254"/>
      <c r="C51" s="242" t="s">
        <v>533</v>
      </c>
      <c r="D51" s="243" t="s">
        <v>130</v>
      </c>
      <c r="E51" s="535">
        <f>2.75*5.9-(0.15*0.5)*3</f>
        <v>16</v>
      </c>
      <c r="F51" s="245">
        <v>0</v>
      </c>
      <c r="G51" s="536">
        <f>E51*F51</f>
        <v>0</v>
      </c>
      <c r="H51" s="244"/>
    </row>
    <row r="52" spans="1:8" ht="37.5" customHeight="1">
      <c r="A52" s="527" t="s">
        <v>131</v>
      </c>
      <c r="B52" s="254" t="s">
        <v>132</v>
      </c>
      <c r="C52" s="255" t="s">
        <v>270</v>
      </c>
      <c r="D52" s="243" t="s">
        <v>134</v>
      </c>
      <c r="E52" s="535">
        <v>4</v>
      </c>
      <c r="F52" s="245">
        <v>0</v>
      </c>
      <c r="G52" s="536">
        <f>E52*F52</f>
        <v>0</v>
      </c>
      <c r="H52" s="244"/>
    </row>
    <row r="53" spans="1:8" ht="83.25" customHeight="1">
      <c r="A53" s="527" t="s">
        <v>135</v>
      </c>
      <c r="B53" s="254">
        <v>619996145</v>
      </c>
      <c r="C53" s="255" t="s">
        <v>534</v>
      </c>
      <c r="D53" s="243" t="s">
        <v>130</v>
      </c>
      <c r="E53" s="535">
        <f>2.5*2.1*1+1*2*1</f>
        <v>7.25</v>
      </c>
      <c r="F53" s="245">
        <v>0</v>
      </c>
      <c r="G53" s="536">
        <f>E53*F53</f>
        <v>0</v>
      </c>
      <c r="H53" s="244"/>
    </row>
    <row r="54" spans="1:8" ht="30">
      <c r="A54" s="527" t="s">
        <v>137</v>
      </c>
      <c r="B54" s="254" t="s">
        <v>456</v>
      </c>
      <c r="C54" s="256" t="s">
        <v>535</v>
      </c>
      <c r="D54" s="243" t="s">
        <v>127</v>
      </c>
      <c r="E54" s="535">
        <v>1</v>
      </c>
      <c r="F54" s="245">
        <v>0</v>
      </c>
      <c r="G54" s="257">
        <f>E54*F54</f>
        <v>0</v>
      </c>
      <c r="H54" s="258"/>
    </row>
    <row r="55" spans="1:8" ht="15">
      <c r="A55" s="527" t="s">
        <v>140</v>
      </c>
      <c r="B55" s="254"/>
      <c r="C55" s="259"/>
      <c r="D55" s="243"/>
      <c r="E55" s="535"/>
      <c r="F55" s="245"/>
      <c r="G55" s="240"/>
      <c r="H55" s="258"/>
    </row>
    <row r="56" spans="1:8" ht="15">
      <c r="A56" s="527" t="s">
        <v>143</v>
      </c>
      <c r="B56" s="254"/>
      <c r="C56" s="260" t="s">
        <v>146</v>
      </c>
      <c r="D56" s="530" t="s">
        <v>51</v>
      </c>
      <c r="E56" s="531" t="s">
        <v>124</v>
      </c>
      <c r="F56" s="532"/>
      <c r="G56" s="533">
        <f>SUM(G57:G67)</f>
        <v>0</v>
      </c>
      <c r="H56" s="534">
        <f>SUM(H57:H60)</f>
        <v>0.758</v>
      </c>
    </row>
    <row r="57" spans="1:8" ht="42.75" customHeight="1">
      <c r="A57" s="527" t="s">
        <v>144</v>
      </c>
      <c r="B57" s="254">
        <v>974031153</v>
      </c>
      <c r="C57" s="261" t="s">
        <v>271</v>
      </c>
      <c r="D57" s="243" t="s">
        <v>149</v>
      </c>
      <c r="E57" s="535">
        <v>10</v>
      </c>
      <c r="F57" s="532">
        <v>0</v>
      </c>
      <c r="G57" s="257">
        <f>E57*F57</f>
        <v>0</v>
      </c>
      <c r="H57" s="244">
        <f>0.018*E57</f>
        <v>0.18</v>
      </c>
    </row>
    <row r="58" spans="1:8" ht="40.5" customHeight="1">
      <c r="A58" s="527" t="s">
        <v>145</v>
      </c>
      <c r="B58" s="254">
        <v>974031122</v>
      </c>
      <c r="C58" s="261" t="s">
        <v>272</v>
      </c>
      <c r="D58" s="243" t="s">
        <v>149</v>
      </c>
      <c r="E58" s="535">
        <v>40</v>
      </c>
      <c r="F58" s="532">
        <v>0</v>
      </c>
      <c r="G58" s="257">
        <f>E58*F58</f>
        <v>0</v>
      </c>
      <c r="H58" s="244">
        <f>0.004*E58</f>
        <v>0.16</v>
      </c>
    </row>
    <row r="59" spans="1:8" ht="60.75" customHeight="1">
      <c r="A59" s="527" t="s">
        <v>147</v>
      </c>
      <c r="B59" s="254">
        <v>973031324</v>
      </c>
      <c r="C59" s="261" t="s">
        <v>273</v>
      </c>
      <c r="D59" s="243" t="s">
        <v>127</v>
      </c>
      <c r="E59" s="535">
        <f>9+8</f>
        <v>17</v>
      </c>
      <c r="F59" s="532">
        <v>0</v>
      </c>
      <c r="G59" s="257">
        <f>E59*F59</f>
        <v>0</v>
      </c>
      <c r="H59" s="244">
        <f>0.015*E59</f>
        <v>0.255</v>
      </c>
    </row>
    <row r="60" spans="1:8" ht="52.5" customHeight="1">
      <c r="A60" s="527" t="s">
        <v>150</v>
      </c>
      <c r="B60" s="254">
        <v>781471810</v>
      </c>
      <c r="C60" s="261" t="s">
        <v>274</v>
      </c>
      <c r="D60" s="243" t="s">
        <v>130</v>
      </c>
      <c r="E60" s="535">
        <v>2</v>
      </c>
      <c r="F60" s="532">
        <v>0</v>
      </c>
      <c r="G60" s="257">
        <f>E60*F60</f>
        <v>0</v>
      </c>
      <c r="H60" s="244">
        <f>0.0815*E60</f>
        <v>0.163</v>
      </c>
    </row>
    <row r="61" spans="1:8" ht="15">
      <c r="A61" s="527" t="s">
        <v>152</v>
      </c>
      <c r="B61" s="254"/>
      <c r="C61" s="261"/>
      <c r="D61" s="243"/>
      <c r="E61" s="535"/>
      <c r="F61" s="532"/>
      <c r="G61" s="257"/>
      <c r="H61" s="244"/>
    </row>
    <row r="62" spans="1:8" ht="42" customHeight="1">
      <c r="A62" s="527" t="s">
        <v>153</v>
      </c>
      <c r="B62" s="254">
        <v>997013151</v>
      </c>
      <c r="C62" s="537" t="s">
        <v>536</v>
      </c>
      <c r="D62" s="538" t="s">
        <v>157</v>
      </c>
      <c r="E62" s="539">
        <f>0.407+0.01+0.03</f>
        <v>0.44699999999999995</v>
      </c>
      <c r="F62" s="540">
        <v>0</v>
      </c>
      <c r="G62" s="536">
        <f>E62*F62</f>
        <v>0</v>
      </c>
      <c r="H62" s="244"/>
    </row>
    <row r="63" spans="1:8" ht="19.5" customHeight="1">
      <c r="A63" s="527" t="s">
        <v>155</v>
      </c>
      <c r="B63" s="254"/>
      <c r="C63" s="537" t="s">
        <v>537</v>
      </c>
      <c r="D63" s="538"/>
      <c r="E63" s="541"/>
      <c r="F63" s="540"/>
      <c r="G63" s="536"/>
      <c r="H63" s="244"/>
    </row>
    <row r="64" spans="1:8" ht="25.5" customHeight="1">
      <c r="A64" s="527" t="s">
        <v>158</v>
      </c>
      <c r="B64" s="254">
        <v>997013501</v>
      </c>
      <c r="C64" s="537" t="s">
        <v>275</v>
      </c>
      <c r="D64" s="538" t="s">
        <v>157</v>
      </c>
      <c r="E64" s="539">
        <f>E62</f>
        <v>0.44699999999999995</v>
      </c>
      <c r="F64" s="540">
        <v>0</v>
      </c>
      <c r="G64" s="536">
        <f>E64*F64</f>
        <v>0</v>
      </c>
      <c r="H64" s="244"/>
    </row>
    <row r="65" spans="1:8" ht="42" customHeight="1">
      <c r="A65" s="527" t="s">
        <v>160</v>
      </c>
      <c r="B65" s="254">
        <v>997013509</v>
      </c>
      <c r="C65" s="537" t="s">
        <v>276</v>
      </c>
      <c r="D65" s="538" t="s">
        <v>157</v>
      </c>
      <c r="E65" s="539">
        <f>E62</f>
        <v>0.44699999999999995</v>
      </c>
      <c r="F65" s="540">
        <v>0</v>
      </c>
      <c r="G65" s="536">
        <f>E65*F65</f>
        <v>0</v>
      </c>
      <c r="H65" s="244"/>
    </row>
    <row r="66" spans="1:8" ht="40.5" customHeight="1">
      <c r="A66" s="527" t="s">
        <v>162</v>
      </c>
      <c r="B66" s="254">
        <v>469973114</v>
      </c>
      <c r="C66" s="537" t="s">
        <v>277</v>
      </c>
      <c r="D66" s="538" t="s">
        <v>157</v>
      </c>
      <c r="E66" s="542">
        <f>0.407+0.02</f>
        <v>0.427</v>
      </c>
      <c r="F66" s="540">
        <v>0</v>
      </c>
      <c r="G66" s="536">
        <f>E66*F66</f>
        <v>0</v>
      </c>
      <c r="H66" s="244"/>
    </row>
    <row r="67" spans="1:8" ht="36" customHeight="1">
      <c r="A67" s="527" t="s">
        <v>164</v>
      </c>
      <c r="B67" s="254">
        <v>997013813</v>
      </c>
      <c r="C67" s="537" t="s">
        <v>538</v>
      </c>
      <c r="D67" s="538" t="s">
        <v>157</v>
      </c>
      <c r="E67" s="539">
        <v>0.01</v>
      </c>
      <c r="F67" s="540">
        <v>0</v>
      </c>
      <c r="G67" s="536">
        <f>E67*F67</f>
        <v>0</v>
      </c>
      <c r="H67" s="244"/>
    </row>
    <row r="68" spans="1:8" ht="18.75" customHeight="1">
      <c r="A68" s="527" t="s">
        <v>166</v>
      </c>
      <c r="B68" s="543"/>
      <c r="C68" s="544"/>
      <c r="D68" s="545"/>
      <c r="E68" s="546"/>
      <c r="F68" s="547"/>
      <c r="G68" s="548"/>
      <c r="H68" s="549"/>
    </row>
    <row r="69" spans="1:8" ht="15">
      <c r="A69" s="527" t="s">
        <v>168</v>
      </c>
      <c r="B69" s="543"/>
      <c r="C69" s="550" t="s">
        <v>170</v>
      </c>
      <c r="D69" s="530" t="s">
        <v>51</v>
      </c>
      <c r="E69" s="531" t="s">
        <v>124</v>
      </c>
      <c r="F69" s="532"/>
      <c r="G69" s="533">
        <f>SUM(G70:G75)</f>
        <v>0</v>
      </c>
      <c r="H69" s="534">
        <f>SUM(H70:H75)</f>
        <v>0.774918</v>
      </c>
    </row>
    <row r="70" spans="1:8" ht="33" customHeight="1">
      <c r="A70" s="527" t="s">
        <v>169</v>
      </c>
      <c r="B70" s="543">
        <v>612135101</v>
      </c>
      <c r="C70" s="544" t="s">
        <v>539</v>
      </c>
      <c r="D70" s="545" t="s">
        <v>130</v>
      </c>
      <c r="E70" s="546">
        <f>0.1*10+0.07*40</f>
        <v>3.8000000000000003</v>
      </c>
      <c r="F70" s="547">
        <v>0</v>
      </c>
      <c r="G70" s="536">
        <f aca="true" t="shared" si="0" ref="G70:G75">E70*F70</f>
        <v>0</v>
      </c>
      <c r="H70" s="551">
        <f>0.056*E70</f>
        <v>0.21280000000000002</v>
      </c>
    </row>
    <row r="71" spans="1:8" ht="39" customHeight="1">
      <c r="A71" s="527" t="s">
        <v>171</v>
      </c>
      <c r="B71" s="543">
        <v>612325121</v>
      </c>
      <c r="C71" s="544" t="s">
        <v>540</v>
      </c>
      <c r="D71" s="545" t="s">
        <v>130</v>
      </c>
      <c r="E71" s="546">
        <f>0.15*(10+40)</f>
        <v>7.5</v>
      </c>
      <c r="F71" s="547">
        <v>0</v>
      </c>
      <c r="G71" s="536">
        <f t="shared" si="0"/>
        <v>0</v>
      </c>
      <c r="H71" s="551">
        <f>0.04153*E71</f>
        <v>0.311475</v>
      </c>
    </row>
    <row r="72" spans="1:8" ht="30.75" customHeight="1">
      <c r="A72" s="527" t="s">
        <v>173</v>
      </c>
      <c r="B72" s="543">
        <v>612315222</v>
      </c>
      <c r="C72" s="544" t="s">
        <v>541</v>
      </c>
      <c r="D72" s="545" t="s">
        <v>127</v>
      </c>
      <c r="E72" s="546">
        <v>17</v>
      </c>
      <c r="F72" s="547">
        <v>0</v>
      </c>
      <c r="G72" s="536">
        <f t="shared" si="0"/>
        <v>0</v>
      </c>
      <c r="H72" s="551">
        <f>0.01*E72</f>
        <v>0.17</v>
      </c>
    </row>
    <row r="73" spans="1:8" ht="56.25" customHeight="1">
      <c r="A73" s="527" t="s">
        <v>175</v>
      </c>
      <c r="B73" s="543" t="s">
        <v>178</v>
      </c>
      <c r="C73" s="552" t="s">
        <v>542</v>
      </c>
      <c r="D73" s="545" t="s">
        <v>180</v>
      </c>
      <c r="E73" s="553">
        <v>1</v>
      </c>
      <c r="F73" s="547">
        <v>0</v>
      </c>
      <c r="G73" s="536">
        <f t="shared" si="0"/>
        <v>0</v>
      </c>
      <c r="H73" s="551">
        <f>0.08</f>
        <v>0.08</v>
      </c>
    </row>
    <row r="74" spans="1:8" ht="63.75" customHeight="1">
      <c r="A74" s="527" t="s">
        <v>177</v>
      </c>
      <c r="B74" s="543">
        <v>952901111</v>
      </c>
      <c r="C74" s="544" t="s">
        <v>459</v>
      </c>
      <c r="D74" s="545" t="s">
        <v>130</v>
      </c>
      <c r="E74" s="553">
        <f>2.75*5.9-0.15*0.5*2</f>
        <v>16.075000000000003</v>
      </c>
      <c r="F74" s="547">
        <v>0</v>
      </c>
      <c r="G74" s="536">
        <f t="shared" si="0"/>
        <v>0</v>
      </c>
      <c r="H74" s="551">
        <f>0.00004*E74</f>
        <v>0.0006430000000000001</v>
      </c>
    </row>
    <row r="75" spans="1:8" ht="15">
      <c r="A75" s="527" t="s">
        <v>181</v>
      </c>
      <c r="B75" s="543">
        <v>998011002</v>
      </c>
      <c r="C75" s="552" t="s">
        <v>278</v>
      </c>
      <c r="D75" s="545" t="s">
        <v>157</v>
      </c>
      <c r="E75" s="553">
        <f>SUM(H70:H74)</f>
        <v>0.774918</v>
      </c>
      <c r="F75" s="547">
        <v>0</v>
      </c>
      <c r="G75" s="536">
        <f t="shared" si="0"/>
        <v>0</v>
      </c>
      <c r="H75" s="549"/>
    </row>
    <row r="76" spans="1:8" ht="15">
      <c r="A76" s="527" t="s">
        <v>183</v>
      </c>
      <c r="B76" s="543"/>
      <c r="C76" s="550"/>
      <c r="D76" s="554"/>
      <c r="E76" s="555"/>
      <c r="F76" s="547"/>
      <c r="G76" s="556"/>
      <c r="H76" s="549"/>
    </row>
    <row r="77" spans="1:8" ht="15">
      <c r="A77" s="527" t="s">
        <v>185</v>
      </c>
      <c r="B77" s="543"/>
      <c r="C77" s="550" t="s">
        <v>188</v>
      </c>
      <c r="D77" s="545" t="s">
        <v>51</v>
      </c>
      <c r="E77" s="546" t="s">
        <v>189</v>
      </c>
      <c r="F77" s="547"/>
      <c r="G77" s="556">
        <f>SUM(G78:G88)</f>
        <v>0</v>
      </c>
      <c r="H77" s="549"/>
    </row>
    <row r="78" spans="1:8" ht="72.75" customHeight="1">
      <c r="A78" s="527" t="s">
        <v>186</v>
      </c>
      <c r="B78" s="543">
        <v>776201812</v>
      </c>
      <c r="C78" s="557" t="s">
        <v>543</v>
      </c>
      <c r="D78" s="545" t="s">
        <v>130</v>
      </c>
      <c r="E78" s="558">
        <f>2.75*5.9-(0.15*0.5)*2</f>
        <v>16.075000000000003</v>
      </c>
      <c r="F78" s="547">
        <v>0</v>
      </c>
      <c r="G78" s="548">
        <f aca="true" t="shared" si="1" ref="G78:G87">E78*F78</f>
        <v>0</v>
      </c>
      <c r="H78" s="549">
        <f>0.003*E78</f>
        <v>0.04822500000000001</v>
      </c>
    </row>
    <row r="79" spans="1:8" ht="69.75" customHeight="1">
      <c r="A79" s="527" t="s">
        <v>187</v>
      </c>
      <c r="B79" s="543">
        <v>776410811</v>
      </c>
      <c r="C79" s="557" t="s">
        <v>544</v>
      </c>
      <c r="D79" s="545" t="s">
        <v>149</v>
      </c>
      <c r="E79" s="559">
        <f>(2.75+5.9)*2+0.5*2*2</f>
        <v>19.3</v>
      </c>
      <c r="F79" s="547">
        <v>0</v>
      </c>
      <c r="G79" s="548">
        <f t="shared" si="1"/>
        <v>0</v>
      </c>
      <c r="H79" s="549">
        <f>0.0003*E79</f>
        <v>0.00579</v>
      </c>
    </row>
    <row r="80" spans="1:8" ht="64.5" customHeight="1">
      <c r="A80" s="527" t="s">
        <v>190</v>
      </c>
      <c r="B80" s="543">
        <v>776991821</v>
      </c>
      <c r="C80" s="544" t="s">
        <v>545</v>
      </c>
      <c r="D80" s="545" t="s">
        <v>130</v>
      </c>
      <c r="E80" s="559">
        <f>E78</f>
        <v>16.075000000000003</v>
      </c>
      <c r="F80" s="547">
        <v>0</v>
      </c>
      <c r="G80" s="548">
        <f t="shared" si="1"/>
        <v>0</v>
      </c>
      <c r="H80" s="549">
        <v>0</v>
      </c>
    </row>
    <row r="81" spans="1:8" ht="54.75" customHeight="1">
      <c r="A81" s="527" t="s">
        <v>191</v>
      </c>
      <c r="B81" s="254">
        <v>776111115</v>
      </c>
      <c r="C81" s="557" t="s">
        <v>279</v>
      </c>
      <c r="D81" s="545" t="s">
        <v>130</v>
      </c>
      <c r="E81" s="559">
        <f>E78</f>
        <v>16.075000000000003</v>
      </c>
      <c r="F81" s="547">
        <v>0</v>
      </c>
      <c r="G81" s="548">
        <f t="shared" si="1"/>
        <v>0</v>
      </c>
      <c r="H81" s="549"/>
    </row>
    <row r="82" spans="1:8" ht="63.75" customHeight="1">
      <c r="A82" s="527" t="s">
        <v>192</v>
      </c>
      <c r="B82" s="543">
        <v>776121511</v>
      </c>
      <c r="C82" s="560" t="s">
        <v>280</v>
      </c>
      <c r="D82" s="545" t="s">
        <v>130</v>
      </c>
      <c r="E82" s="559">
        <f>E78</f>
        <v>16.075000000000003</v>
      </c>
      <c r="F82" s="547">
        <v>0</v>
      </c>
      <c r="G82" s="548">
        <f t="shared" si="1"/>
        <v>0</v>
      </c>
      <c r="H82" s="549"/>
    </row>
    <row r="83" spans="1:8" ht="66" customHeight="1">
      <c r="A83" s="527" t="s">
        <v>193</v>
      </c>
      <c r="B83" s="543">
        <v>776141112</v>
      </c>
      <c r="C83" s="544" t="s">
        <v>281</v>
      </c>
      <c r="D83" s="545" t="s">
        <v>130</v>
      </c>
      <c r="E83" s="559">
        <f>E78</f>
        <v>16.075000000000003</v>
      </c>
      <c r="F83" s="547">
        <v>0</v>
      </c>
      <c r="G83" s="548">
        <f t="shared" si="1"/>
        <v>0</v>
      </c>
      <c r="H83" s="549"/>
    </row>
    <row r="84" spans="1:8" ht="60.75" customHeight="1">
      <c r="A84" s="527" t="s">
        <v>194</v>
      </c>
      <c r="B84" s="543">
        <v>776211221</v>
      </c>
      <c r="C84" s="544" t="s">
        <v>282</v>
      </c>
      <c r="D84" s="545" t="s">
        <v>130</v>
      </c>
      <c r="E84" s="559">
        <f>E81</f>
        <v>16.075000000000003</v>
      </c>
      <c r="F84" s="547">
        <v>0</v>
      </c>
      <c r="G84" s="548">
        <f t="shared" si="1"/>
        <v>0</v>
      </c>
      <c r="H84" s="549"/>
    </row>
    <row r="85" spans="1:8" ht="50.25" customHeight="1">
      <c r="A85" s="527" t="s">
        <v>195</v>
      </c>
      <c r="B85" s="543" t="s">
        <v>178</v>
      </c>
      <c r="C85" s="544" t="s">
        <v>546</v>
      </c>
      <c r="D85" s="545" t="s">
        <v>130</v>
      </c>
      <c r="E85" s="546">
        <f>E84*1.09</f>
        <v>17.521750000000004</v>
      </c>
      <c r="F85" s="547">
        <v>0</v>
      </c>
      <c r="G85" s="548">
        <f t="shared" si="1"/>
        <v>0</v>
      </c>
      <c r="H85" s="549"/>
    </row>
    <row r="86" spans="1:8" ht="31.5" customHeight="1">
      <c r="A86" s="527" t="s">
        <v>196</v>
      </c>
      <c r="B86" s="543">
        <v>776421111</v>
      </c>
      <c r="C86" s="544" t="s">
        <v>547</v>
      </c>
      <c r="D86" s="545" t="s">
        <v>149</v>
      </c>
      <c r="E86" s="546">
        <f>(5.9+2.75)*2+0.5*2*2</f>
        <v>19.3</v>
      </c>
      <c r="F86" s="547">
        <v>0</v>
      </c>
      <c r="G86" s="548">
        <f t="shared" si="1"/>
        <v>0</v>
      </c>
      <c r="H86" s="549"/>
    </row>
    <row r="87" spans="1:8" ht="47.25" customHeight="1">
      <c r="A87" s="527" t="s">
        <v>197</v>
      </c>
      <c r="B87" s="543" t="s">
        <v>178</v>
      </c>
      <c r="C87" s="544" t="s">
        <v>548</v>
      </c>
      <c r="D87" s="545" t="s">
        <v>149</v>
      </c>
      <c r="E87" s="546">
        <f>E86*1.09</f>
        <v>21.037000000000003</v>
      </c>
      <c r="F87" s="547">
        <v>0</v>
      </c>
      <c r="G87" s="548">
        <f t="shared" si="1"/>
        <v>0</v>
      </c>
      <c r="H87" s="549"/>
    </row>
    <row r="88" spans="1:8" ht="18" customHeight="1">
      <c r="A88" s="527" t="s">
        <v>198</v>
      </c>
      <c r="B88" s="543">
        <v>998776202</v>
      </c>
      <c r="C88" s="544" t="s">
        <v>283</v>
      </c>
      <c r="D88" s="545" t="s">
        <v>201</v>
      </c>
      <c r="E88" s="561">
        <v>0.0038</v>
      </c>
      <c r="F88" s="547">
        <f>SUM(G78:G87)</f>
        <v>0</v>
      </c>
      <c r="G88" s="548">
        <f>E88*F88</f>
        <v>0</v>
      </c>
      <c r="H88" s="549"/>
    </row>
    <row r="89" spans="1:8" ht="15">
      <c r="A89" s="527" t="s">
        <v>199</v>
      </c>
      <c r="B89" s="543"/>
      <c r="C89" s="544"/>
      <c r="D89" s="545"/>
      <c r="E89" s="561"/>
      <c r="F89" s="547"/>
      <c r="G89" s="548"/>
      <c r="H89" s="549"/>
    </row>
    <row r="90" spans="1:8" ht="33" customHeight="1">
      <c r="A90" s="527" t="s">
        <v>200</v>
      </c>
      <c r="B90" s="543"/>
      <c r="C90" s="550" t="s">
        <v>460</v>
      </c>
      <c r="D90" s="554" t="s">
        <v>206</v>
      </c>
      <c r="E90" s="555" t="s">
        <v>124</v>
      </c>
      <c r="F90" s="562"/>
      <c r="G90" s="556">
        <f>SUM(G91:G92)</f>
        <v>0</v>
      </c>
      <c r="H90" s="549"/>
    </row>
    <row r="91" spans="1:8" ht="30">
      <c r="A91" s="527" t="s">
        <v>202</v>
      </c>
      <c r="B91" s="543" t="s">
        <v>178</v>
      </c>
      <c r="C91" s="563" t="s">
        <v>549</v>
      </c>
      <c r="D91" s="564" t="s">
        <v>180</v>
      </c>
      <c r="E91" s="546">
        <v>1</v>
      </c>
      <c r="F91" s="547">
        <v>0</v>
      </c>
      <c r="G91" s="548">
        <f>E91*F91</f>
        <v>0</v>
      </c>
      <c r="H91" s="549"/>
    </row>
    <row r="92" spans="1:8" ht="15">
      <c r="A92" s="527" t="s">
        <v>203</v>
      </c>
      <c r="B92" s="543">
        <v>998766202</v>
      </c>
      <c r="C92" s="563" t="s">
        <v>550</v>
      </c>
      <c r="D92" s="545" t="s">
        <v>201</v>
      </c>
      <c r="E92" s="561">
        <v>0.0108</v>
      </c>
      <c r="F92" s="547">
        <f>SUM(G91:G91)</f>
        <v>0</v>
      </c>
      <c r="G92" s="548">
        <f>E92*F92</f>
        <v>0</v>
      </c>
      <c r="H92" s="549"/>
    </row>
    <row r="93" spans="1:8" ht="15">
      <c r="A93" s="527" t="s">
        <v>204</v>
      </c>
      <c r="B93" s="543"/>
      <c r="C93" s="544"/>
      <c r="D93" s="545"/>
      <c r="E93" s="561"/>
      <c r="F93" s="547"/>
      <c r="G93" s="548"/>
      <c r="H93" s="549"/>
    </row>
    <row r="94" spans="1:8" ht="15">
      <c r="A94" s="527" t="s">
        <v>207</v>
      </c>
      <c r="B94" s="543"/>
      <c r="C94" s="565" t="s">
        <v>213</v>
      </c>
      <c r="D94" s="554" t="s">
        <v>206</v>
      </c>
      <c r="E94" s="555" t="s">
        <v>124</v>
      </c>
      <c r="F94" s="562"/>
      <c r="G94" s="556">
        <f>SUM(G95:G100)</f>
        <v>0</v>
      </c>
      <c r="H94" s="549"/>
    </row>
    <row r="95" spans="1:8" ht="30.75" customHeight="1">
      <c r="A95" s="527" t="s">
        <v>209</v>
      </c>
      <c r="B95" s="543"/>
      <c r="C95" s="544" t="s">
        <v>461</v>
      </c>
      <c r="D95" s="554"/>
      <c r="E95" s="555"/>
      <c r="F95" s="562"/>
      <c r="G95" s="556"/>
      <c r="H95" s="549"/>
    </row>
    <row r="96" spans="1:8" ht="21.75" customHeight="1">
      <c r="A96" s="527" t="s">
        <v>210</v>
      </c>
      <c r="B96" s="543">
        <v>781111011</v>
      </c>
      <c r="C96" s="544" t="s">
        <v>284</v>
      </c>
      <c r="D96" s="545" t="s">
        <v>130</v>
      </c>
      <c r="E96" s="561">
        <f>(0.9+0.5*2)*1.2</f>
        <v>2.28</v>
      </c>
      <c r="F96" s="547">
        <v>0</v>
      </c>
      <c r="G96" s="548">
        <f>E96*F96</f>
        <v>0</v>
      </c>
      <c r="H96" s="549"/>
    </row>
    <row r="97" spans="1:8" ht="17.25" customHeight="1">
      <c r="A97" s="527" t="s">
        <v>211</v>
      </c>
      <c r="B97" s="543">
        <v>781121011</v>
      </c>
      <c r="C97" s="544" t="s">
        <v>285</v>
      </c>
      <c r="D97" s="545" t="s">
        <v>130</v>
      </c>
      <c r="E97" s="561">
        <f>E96</f>
        <v>2.28</v>
      </c>
      <c r="F97" s="547">
        <v>0</v>
      </c>
      <c r="G97" s="548">
        <f>E97*F97</f>
        <v>0</v>
      </c>
      <c r="H97" s="549"/>
    </row>
    <row r="98" spans="1:8" ht="54.75" customHeight="1">
      <c r="A98" s="527" t="s">
        <v>212</v>
      </c>
      <c r="B98" s="543">
        <v>781474164</v>
      </c>
      <c r="C98" s="544" t="s">
        <v>286</v>
      </c>
      <c r="D98" s="545" t="s">
        <v>130</v>
      </c>
      <c r="E98" s="561">
        <f>E96</f>
        <v>2.28</v>
      </c>
      <c r="F98" s="547">
        <v>0</v>
      </c>
      <c r="G98" s="548">
        <f>E98*F98</f>
        <v>0</v>
      </c>
      <c r="H98" s="549"/>
    </row>
    <row r="99" spans="1:8" ht="18" customHeight="1">
      <c r="A99" s="527" t="s">
        <v>214</v>
      </c>
      <c r="B99" s="543" t="s">
        <v>178</v>
      </c>
      <c r="C99" s="552" t="s">
        <v>287</v>
      </c>
      <c r="D99" s="545" t="s">
        <v>130</v>
      </c>
      <c r="E99" s="561">
        <f>2.28*1.1</f>
        <v>2.508</v>
      </c>
      <c r="F99" s="547">
        <v>0</v>
      </c>
      <c r="G99" s="548">
        <f>E99*F99</f>
        <v>0</v>
      </c>
      <c r="H99" s="549"/>
    </row>
    <row r="100" spans="1:8" ht="21.75" customHeight="1">
      <c r="A100" s="527" t="s">
        <v>216</v>
      </c>
      <c r="B100" s="543">
        <v>998781202</v>
      </c>
      <c r="C100" s="544" t="s">
        <v>288</v>
      </c>
      <c r="D100" s="545" t="s">
        <v>201</v>
      </c>
      <c r="E100" s="561">
        <v>0.037</v>
      </c>
      <c r="F100" s="547">
        <f>SUM(G96:G99)</f>
        <v>0</v>
      </c>
      <c r="G100" s="548">
        <f>E100*F100</f>
        <v>0</v>
      </c>
      <c r="H100" s="549"/>
    </row>
    <row r="101" spans="1:8" ht="15">
      <c r="A101" s="527" t="s">
        <v>218</v>
      </c>
      <c r="B101" s="543"/>
      <c r="C101" s="544"/>
      <c r="D101" s="545"/>
      <c r="E101" s="561"/>
      <c r="F101" s="547"/>
      <c r="G101" s="548"/>
      <c r="H101" s="549"/>
    </row>
    <row r="102" spans="1:8" ht="15">
      <c r="A102" s="527" t="s">
        <v>220</v>
      </c>
      <c r="B102" s="543"/>
      <c r="C102" s="544"/>
      <c r="D102" s="545"/>
      <c r="E102" s="546"/>
      <c r="F102" s="547"/>
      <c r="G102" s="548"/>
      <c r="H102" s="549"/>
    </row>
    <row r="103" spans="1:8" ht="15">
      <c r="A103" s="527" t="s">
        <v>222</v>
      </c>
      <c r="B103" s="543"/>
      <c r="C103" s="550" t="s">
        <v>229</v>
      </c>
      <c r="D103" s="554" t="s">
        <v>51</v>
      </c>
      <c r="E103" s="555" t="s">
        <v>124</v>
      </c>
      <c r="F103" s="547"/>
      <c r="G103" s="556">
        <f>SUM(G104:G107)</f>
        <v>0</v>
      </c>
      <c r="H103" s="549"/>
    </row>
    <row r="104" spans="1:8" ht="43.5" customHeight="1">
      <c r="A104" s="527" t="s">
        <v>224</v>
      </c>
      <c r="B104" s="543">
        <v>784121001</v>
      </c>
      <c r="C104" s="563" t="s">
        <v>551</v>
      </c>
      <c r="D104" s="545" t="s">
        <v>130</v>
      </c>
      <c r="E104" s="559">
        <f>(2.75+5.9)*2*2.99+16.08</f>
        <v>67.807</v>
      </c>
      <c r="F104" s="547">
        <v>0</v>
      </c>
      <c r="G104" s="548">
        <f>E104*F104</f>
        <v>0</v>
      </c>
      <c r="H104" s="549">
        <f>0.0003*E104</f>
        <v>0.0203421</v>
      </c>
    </row>
    <row r="105" spans="1:8" ht="60" customHeight="1">
      <c r="A105" s="527" t="s">
        <v>226</v>
      </c>
      <c r="B105" s="543">
        <v>784111001</v>
      </c>
      <c r="C105" s="563" t="s">
        <v>289</v>
      </c>
      <c r="D105" s="545" t="s">
        <v>130</v>
      </c>
      <c r="E105" s="559">
        <f>E104</f>
        <v>67.807</v>
      </c>
      <c r="F105" s="547">
        <v>0</v>
      </c>
      <c r="G105" s="548">
        <f>E105*F105</f>
        <v>0</v>
      </c>
      <c r="H105" s="549">
        <v>0</v>
      </c>
    </row>
    <row r="106" spans="1:8" ht="58.5" customHeight="1">
      <c r="A106" s="527" t="s">
        <v>227</v>
      </c>
      <c r="B106" s="543">
        <v>784181101</v>
      </c>
      <c r="C106" s="557" t="s">
        <v>290</v>
      </c>
      <c r="D106" s="545" t="s">
        <v>130</v>
      </c>
      <c r="E106" s="559">
        <f>E105</f>
        <v>67.807</v>
      </c>
      <c r="F106" s="547">
        <v>0</v>
      </c>
      <c r="G106" s="548">
        <f>E106*F106</f>
        <v>0</v>
      </c>
      <c r="H106" s="549"/>
    </row>
    <row r="107" spans="1:8" ht="81" customHeight="1">
      <c r="A107" s="527" t="s">
        <v>228</v>
      </c>
      <c r="B107" s="543">
        <v>784221101</v>
      </c>
      <c r="C107" s="563" t="s">
        <v>552</v>
      </c>
      <c r="D107" s="545" t="s">
        <v>130</v>
      </c>
      <c r="E107" s="559">
        <f>E104</f>
        <v>67.807</v>
      </c>
      <c r="F107" s="566">
        <v>0</v>
      </c>
      <c r="G107" s="548">
        <f>E107*F107</f>
        <v>0</v>
      </c>
      <c r="H107" s="54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K27" sqref="K27"/>
    </sheetView>
  </sheetViews>
  <sheetFormatPr defaultColWidth="9.140625" defaultRowHeight="15"/>
  <cols>
    <col min="1" max="1" width="15.8515625" style="0" customWidth="1"/>
    <col min="2" max="2" width="61.00390625" style="0" customWidth="1"/>
  </cols>
  <sheetData>
    <row r="1" spans="1:8" ht="30">
      <c r="A1" s="483" t="s">
        <v>307</v>
      </c>
      <c r="B1" s="483" t="s">
        <v>308</v>
      </c>
      <c r="C1" s="483" t="s">
        <v>309</v>
      </c>
      <c r="D1" s="483" t="s">
        <v>310</v>
      </c>
      <c r="E1" s="483" t="s">
        <v>311</v>
      </c>
      <c r="F1" s="483" t="s">
        <v>312</v>
      </c>
      <c r="G1" s="483" t="s">
        <v>313</v>
      </c>
      <c r="H1" s="483" t="s">
        <v>314</v>
      </c>
    </row>
    <row r="2" spans="1:8" ht="15.75">
      <c r="A2" s="484" t="s">
        <v>315</v>
      </c>
      <c r="B2" s="485"/>
      <c r="C2" s="485"/>
      <c r="D2" s="485"/>
      <c r="E2" s="485"/>
      <c r="F2" s="485"/>
      <c r="G2" s="486"/>
      <c r="H2" s="486"/>
    </row>
    <row r="3" spans="1:8" ht="16.5">
      <c r="A3" s="487" t="s">
        <v>316</v>
      </c>
      <c r="B3" s="488" t="s">
        <v>317</v>
      </c>
      <c r="C3" s="487" t="s">
        <v>127</v>
      </c>
      <c r="D3" s="487">
        <v>9</v>
      </c>
      <c r="E3" s="314">
        <v>0</v>
      </c>
      <c r="F3" s="489">
        <f>D3*E3</f>
        <v>0</v>
      </c>
      <c r="G3" s="314">
        <v>0</v>
      </c>
      <c r="H3" s="489">
        <f>D3*G3</f>
        <v>0</v>
      </c>
    </row>
    <row r="4" spans="1:8" ht="16.5">
      <c r="A4" s="487" t="s">
        <v>318</v>
      </c>
      <c r="B4" s="488" t="s">
        <v>319</v>
      </c>
      <c r="C4" s="487" t="s">
        <v>127</v>
      </c>
      <c r="D4" s="487">
        <v>9</v>
      </c>
      <c r="E4" s="314">
        <v>0</v>
      </c>
      <c r="F4" s="489">
        <f>D4*E4</f>
        <v>0</v>
      </c>
      <c r="G4" s="314">
        <v>0</v>
      </c>
      <c r="H4" s="489">
        <f>D4*G4</f>
        <v>0</v>
      </c>
    </row>
    <row r="5" spans="1:8" ht="16.5">
      <c r="A5" s="487" t="s">
        <v>320</v>
      </c>
      <c r="B5" s="488" t="s">
        <v>323</v>
      </c>
      <c r="C5" s="487" t="s">
        <v>180</v>
      </c>
      <c r="D5" s="487">
        <v>1</v>
      </c>
      <c r="E5" s="314">
        <v>0</v>
      </c>
      <c r="F5" s="489">
        <f>D5*E5</f>
        <v>0</v>
      </c>
      <c r="G5" s="314"/>
      <c r="H5" s="489">
        <f>D5*G5</f>
        <v>0</v>
      </c>
    </row>
    <row r="6" spans="1:8" ht="16.5">
      <c r="A6" s="487" t="s">
        <v>322</v>
      </c>
      <c r="B6" s="488" t="s">
        <v>325</v>
      </c>
      <c r="C6" s="487" t="s">
        <v>180</v>
      </c>
      <c r="D6" s="487">
        <v>1</v>
      </c>
      <c r="E6" s="314"/>
      <c r="F6" s="489">
        <f>D6*E6</f>
        <v>0</v>
      </c>
      <c r="G6" s="314">
        <v>0</v>
      </c>
      <c r="H6" s="489">
        <f>D6*G6</f>
        <v>0</v>
      </c>
    </row>
    <row r="7" spans="1:8" ht="16.5">
      <c r="A7" s="487" t="s">
        <v>324</v>
      </c>
      <c r="B7" s="488" t="s">
        <v>327</v>
      </c>
      <c r="C7" s="487" t="s">
        <v>180</v>
      </c>
      <c r="D7" s="487">
        <v>1</v>
      </c>
      <c r="E7" s="314"/>
      <c r="F7" s="489">
        <f>D7*E7</f>
        <v>0</v>
      </c>
      <c r="G7" s="314">
        <v>0</v>
      </c>
      <c r="H7" s="489">
        <f>D7*G7</f>
        <v>0</v>
      </c>
    </row>
    <row r="8" spans="1:8" ht="16.5">
      <c r="A8" s="487"/>
      <c r="B8" s="490" t="s">
        <v>328</v>
      </c>
      <c r="C8" s="491"/>
      <c r="D8" s="491"/>
      <c r="E8" s="318"/>
      <c r="F8" s="492">
        <f>SUM(F3:F7)</f>
        <v>0</v>
      </c>
      <c r="G8" s="320"/>
      <c r="H8" s="492">
        <f>SUM(H3:H7)</f>
        <v>0</v>
      </c>
    </row>
    <row r="9" spans="1:8" ht="15.75">
      <c r="A9" s="484" t="s">
        <v>329</v>
      </c>
      <c r="B9" s="485"/>
      <c r="C9" s="485"/>
      <c r="D9" s="485"/>
      <c r="E9" s="485"/>
      <c r="F9" s="485"/>
      <c r="G9" s="486"/>
      <c r="H9" s="486"/>
    </row>
    <row r="10" spans="1:8" ht="16.5">
      <c r="A10" s="487" t="s">
        <v>326</v>
      </c>
      <c r="B10" s="488" t="s">
        <v>331</v>
      </c>
      <c r="C10" s="487" t="s">
        <v>127</v>
      </c>
      <c r="D10" s="487">
        <v>2</v>
      </c>
      <c r="E10" s="314">
        <v>0</v>
      </c>
      <c r="F10" s="489">
        <f>D10*E10</f>
        <v>0</v>
      </c>
      <c r="G10" s="314">
        <v>0</v>
      </c>
      <c r="H10" s="489">
        <f>D10*G10</f>
        <v>0</v>
      </c>
    </row>
    <row r="11" spans="1:8" ht="16.5">
      <c r="A11" s="487" t="s">
        <v>330</v>
      </c>
      <c r="B11" s="488" t="s">
        <v>325</v>
      </c>
      <c r="C11" s="493" t="s">
        <v>180</v>
      </c>
      <c r="D11" s="487">
        <v>1</v>
      </c>
      <c r="E11" s="314"/>
      <c r="F11" s="489">
        <f>D11*E11</f>
        <v>0</v>
      </c>
      <c r="G11" s="314">
        <v>0</v>
      </c>
      <c r="H11" s="489">
        <f>D11*G11</f>
        <v>0</v>
      </c>
    </row>
    <row r="12" spans="1:8" ht="16.5">
      <c r="A12" s="487" t="s">
        <v>332</v>
      </c>
      <c r="B12" s="488" t="s">
        <v>334</v>
      </c>
      <c r="C12" s="493" t="s">
        <v>180</v>
      </c>
      <c r="D12" s="487">
        <v>1</v>
      </c>
      <c r="E12" s="314">
        <v>0</v>
      </c>
      <c r="F12" s="489">
        <f>D12*E12</f>
        <v>0</v>
      </c>
      <c r="G12" s="314">
        <v>0</v>
      </c>
      <c r="H12" s="489">
        <f>D12*G12</f>
        <v>0</v>
      </c>
    </row>
    <row r="13" spans="1:8" ht="15.75">
      <c r="A13" s="494"/>
      <c r="B13" s="490" t="s">
        <v>335</v>
      </c>
      <c r="C13" s="491"/>
      <c r="D13" s="491"/>
      <c r="E13" s="318"/>
      <c r="F13" s="492">
        <f>SUM(F10:F12)</f>
        <v>0</v>
      </c>
      <c r="G13" s="320"/>
      <c r="H13" s="492">
        <f>SUM(H10:H12)</f>
        <v>0</v>
      </c>
    </row>
    <row r="14" spans="1:8" ht="15.75">
      <c r="A14" s="484" t="s">
        <v>336</v>
      </c>
      <c r="B14" s="485"/>
      <c r="C14" s="485"/>
      <c r="D14" s="485"/>
      <c r="E14" s="485"/>
      <c r="F14" s="485"/>
      <c r="G14" s="486"/>
      <c r="H14" s="486"/>
    </row>
    <row r="15" spans="1:8" ht="16.5">
      <c r="A15" s="487" t="s">
        <v>333</v>
      </c>
      <c r="B15" s="488" t="s">
        <v>338</v>
      </c>
      <c r="C15" s="487" t="s">
        <v>339</v>
      </c>
      <c r="D15" s="487">
        <v>60</v>
      </c>
      <c r="E15" s="314">
        <v>0</v>
      </c>
      <c r="F15" s="489">
        <f aca="true" t="shared" si="0" ref="F15:F21">D15*E15</f>
        <v>0</v>
      </c>
      <c r="G15" s="314">
        <v>0</v>
      </c>
      <c r="H15" s="489">
        <f aca="true" t="shared" si="1" ref="H15:H21">D15*G15</f>
        <v>0</v>
      </c>
    </row>
    <row r="16" spans="1:8" ht="16.5">
      <c r="A16" s="487" t="s">
        <v>337</v>
      </c>
      <c r="B16" s="488" t="s">
        <v>341</v>
      </c>
      <c r="C16" s="487" t="s">
        <v>339</v>
      </c>
      <c r="D16" s="487">
        <v>20</v>
      </c>
      <c r="E16" s="314">
        <v>0</v>
      </c>
      <c r="F16" s="489">
        <f t="shared" si="0"/>
        <v>0</v>
      </c>
      <c r="G16" s="314">
        <v>0</v>
      </c>
      <c r="H16" s="489">
        <f t="shared" si="1"/>
        <v>0</v>
      </c>
    </row>
    <row r="17" spans="1:8" ht="16.5">
      <c r="A17" s="487" t="s">
        <v>340</v>
      </c>
      <c r="B17" s="488" t="s">
        <v>343</v>
      </c>
      <c r="C17" s="487" t="s">
        <v>339</v>
      </c>
      <c r="D17" s="487">
        <v>18</v>
      </c>
      <c r="E17" s="314">
        <v>0</v>
      </c>
      <c r="F17" s="489">
        <f t="shared" si="0"/>
        <v>0</v>
      </c>
      <c r="G17" s="314">
        <v>0</v>
      </c>
      <c r="H17" s="489">
        <f t="shared" si="1"/>
        <v>0</v>
      </c>
    </row>
    <row r="18" spans="1:8" ht="16.5">
      <c r="A18" s="487" t="s">
        <v>342</v>
      </c>
      <c r="B18" s="488" t="s">
        <v>347</v>
      </c>
      <c r="C18" s="487" t="s">
        <v>127</v>
      </c>
      <c r="D18" s="487">
        <v>2</v>
      </c>
      <c r="E18" s="314">
        <v>0</v>
      </c>
      <c r="F18" s="489">
        <f t="shared" si="0"/>
        <v>0</v>
      </c>
      <c r="G18" s="314">
        <v>0</v>
      </c>
      <c r="H18" s="489">
        <f t="shared" si="1"/>
        <v>0</v>
      </c>
    </row>
    <row r="19" spans="1:8" ht="16.5">
      <c r="A19" s="487" t="s">
        <v>344</v>
      </c>
      <c r="B19" s="488" t="s">
        <v>349</v>
      </c>
      <c r="C19" s="493" t="s">
        <v>180</v>
      </c>
      <c r="D19" s="487">
        <v>1</v>
      </c>
      <c r="E19" s="314">
        <v>0</v>
      </c>
      <c r="F19" s="489">
        <f t="shared" si="0"/>
        <v>0</v>
      </c>
      <c r="G19" s="314"/>
      <c r="H19" s="489">
        <f t="shared" si="1"/>
        <v>0</v>
      </c>
    </row>
    <row r="20" spans="1:8" ht="16.5">
      <c r="A20" s="487" t="s">
        <v>346</v>
      </c>
      <c r="B20" s="488" t="s">
        <v>351</v>
      </c>
      <c r="C20" s="493" t="s">
        <v>180</v>
      </c>
      <c r="D20" s="487">
        <v>1</v>
      </c>
      <c r="E20" s="314"/>
      <c r="F20" s="489">
        <f t="shared" si="0"/>
        <v>0</v>
      </c>
      <c r="G20" s="314">
        <v>0</v>
      </c>
      <c r="H20" s="489">
        <f t="shared" si="1"/>
        <v>0</v>
      </c>
    </row>
    <row r="21" spans="1:8" ht="16.5">
      <c r="A21" s="487" t="s">
        <v>348</v>
      </c>
      <c r="B21" s="488" t="s">
        <v>325</v>
      </c>
      <c r="C21" s="493" t="s">
        <v>180</v>
      </c>
      <c r="D21" s="487">
        <v>1</v>
      </c>
      <c r="E21" s="314"/>
      <c r="F21" s="489">
        <f t="shared" si="0"/>
        <v>0</v>
      </c>
      <c r="G21" s="314">
        <v>0</v>
      </c>
      <c r="H21" s="489">
        <f t="shared" si="1"/>
        <v>0</v>
      </c>
    </row>
    <row r="22" spans="1:8" ht="16.5">
      <c r="A22" s="494"/>
      <c r="B22" s="490" t="s">
        <v>353</v>
      </c>
      <c r="C22" s="491"/>
      <c r="D22" s="491"/>
      <c r="E22" s="495"/>
      <c r="F22" s="492">
        <f>SUM(F15:F21)</f>
        <v>0</v>
      </c>
      <c r="G22" s="489"/>
      <c r="H22" s="492">
        <f>SUM(H15:H21)</f>
        <v>0</v>
      </c>
    </row>
    <row r="23" spans="1:8" ht="15.75">
      <c r="A23" s="484" t="s">
        <v>354</v>
      </c>
      <c r="B23" s="485"/>
      <c r="C23" s="485"/>
      <c r="D23" s="485"/>
      <c r="E23" s="485"/>
      <c r="F23" s="485"/>
      <c r="G23" s="496"/>
      <c r="H23" s="496"/>
    </row>
    <row r="24" spans="1:8" ht="16.5">
      <c r="A24" s="487" t="s">
        <v>350</v>
      </c>
      <c r="B24" s="488" t="s">
        <v>356</v>
      </c>
      <c r="C24" s="487" t="s">
        <v>127</v>
      </c>
      <c r="D24" s="487">
        <v>1</v>
      </c>
      <c r="E24" s="325">
        <v>0</v>
      </c>
      <c r="F24" s="489">
        <f>D24*E24</f>
        <v>0</v>
      </c>
      <c r="G24" s="487"/>
      <c r="H24" s="489">
        <f>D24*G24</f>
        <v>0</v>
      </c>
    </row>
    <row r="25" spans="1:8" ht="15.75">
      <c r="A25" s="497"/>
      <c r="B25" s="498" t="s">
        <v>357</v>
      </c>
      <c r="C25" s="499"/>
      <c r="D25" s="499"/>
      <c r="E25" s="500"/>
      <c r="F25" s="501">
        <f>+F22+F13+F8+F24</f>
        <v>0</v>
      </c>
      <c r="G25" s="497"/>
      <c r="H25" s="501">
        <f>+H22+H13+H8+H24</f>
        <v>0</v>
      </c>
    </row>
    <row r="26" spans="1:8" ht="16.5">
      <c r="A26" s="502"/>
      <c r="B26" s="502"/>
      <c r="C26" s="502"/>
      <c r="D26" s="502"/>
      <c r="E26" s="502"/>
      <c r="F26" s="503" t="s">
        <v>358</v>
      </c>
      <c r="G26" s="504"/>
      <c r="H26" s="505" t="s">
        <v>359</v>
      </c>
    </row>
    <row r="27" spans="1:8" ht="21">
      <c r="A27" s="506" t="s">
        <v>357</v>
      </c>
      <c r="B27" s="506"/>
      <c r="C27" s="507">
        <f>SUM(F25,H25)</f>
        <v>0</v>
      </c>
      <c r="D27" s="508"/>
      <c r="E27" s="508"/>
      <c r="F27" s="502"/>
      <c r="G27" s="504"/>
      <c r="H27" s="509"/>
    </row>
  </sheetData>
  <mergeCells count="6">
    <mergeCell ref="A2:H2"/>
    <mergeCell ref="A9:H9"/>
    <mergeCell ref="A14:H14"/>
    <mergeCell ref="A23:H23"/>
    <mergeCell ref="A27:B27"/>
    <mergeCell ref="C27:E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verv02</dc:creator>
  <cp:keywords/>
  <dc:description/>
  <cp:lastModifiedBy>verv02</cp:lastModifiedBy>
  <dcterms:created xsi:type="dcterms:W3CDTF">2024-02-08T06:50:28Z</dcterms:created>
  <dcterms:modified xsi:type="dcterms:W3CDTF">2024-02-08T08:50:13Z</dcterms:modified>
  <cp:category/>
  <cp:version/>
  <cp:contentType/>
  <cp:contentStatus/>
</cp:coreProperties>
</file>